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\CartellaNAS\Leonardo\REVISIONE PREZZI\"/>
    </mc:Choice>
  </mc:AlternateContent>
  <xr:revisionPtr revIDLastSave="0" documentId="13_ncr:1_{03A868C0-598D-49E5-A663-9ED1E7B8FA2C}" xr6:coauthVersionLast="47" xr6:coauthVersionMax="47" xr10:uidLastSave="{00000000-0000-0000-0000-000000000000}"/>
  <bookViews>
    <workbookView xWindow="-98" yWindow="-98" windowWidth="27076" windowHeight="16395" firstSheet="1" activeTab="1" xr2:uid="{00000000-000D-0000-FFFF-FFFF00000000}"/>
  </bookViews>
  <sheets>
    <sheet name="revisione prezzi V.R. " sheetId="7" state="hidden" r:id="rId1"/>
    <sheet name="revisione prezzi N.R." sheetId="12" r:id="rId2"/>
    <sheet name="ISTAT" sheetId="15" r:id="rId3"/>
    <sheet name="CEC" sheetId="10" state="hidden" r:id="rId4"/>
    <sheet name="Assistal" sheetId="16" state="hidden" r:id="rId5"/>
    <sheet name="match NR-VR" sheetId="8" state="hidden" r:id="rId6"/>
    <sheet name="match NR - gasolio" sheetId="19" state="hidden" r:id="rId7"/>
    <sheet name="gradi giorno Santa Fiora" sheetId="17" state="hidden" r:id="rId8"/>
  </sheets>
  <externalReferences>
    <externalReference r:id="rId9"/>
    <externalReference r:id="rId10"/>
    <externalReference r:id="rId11"/>
  </externalReferences>
  <definedNames>
    <definedName name="_xlnm.Print_Area" localSheetId="2">ISTAT!$A$2:$N$34</definedName>
    <definedName name="_xlnm.Print_Area" localSheetId="6">'match NR - gasolio'!#REF!</definedName>
    <definedName name="_xlnm.Print_Area" localSheetId="1">'revisione prezzi N.R.'!$B$3:$K$36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8" i="12" l="1"/>
  <c r="AA31" i="7"/>
  <c r="AA28" i="7"/>
  <c r="AA26" i="7"/>
  <c r="AA24" i="7"/>
  <c r="AA22" i="7"/>
  <c r="AA19" i="7"/>
  <c r="AA16" i="7"/>
  <c r="AA13" i="7"/>
  <c r="I91" i="15"/>
  <c r="J91" i="15"/>
  <c r="K91" i="15"/>
  <c r="L91" i="15"/>
  <c r="M91" i="15"/>
  <c r="N91" i="15"/>
  <c r="H91" i="15"/>
  <c r="E91" i="15"/>
  <c r="F91" i="15"/>
  <c r="G91" i="15"/>
  <c r="D91" i="15"/>
  <c r="C91" i="15"/>
  <c r="H92" i="15"/>
  <c r="I92" i="15" s="1"/>
  <c r="J92" i="15" s="1"/>
  <c r="K92" i="15" s="1"/>
  <c r="L92" i="15" s="1"/>
  <c r="M92" i="15" s="1"/>
  <c r="N92" i="15" s="1"/>
  <c r="O92" i="15" s="1"/>
  <c r="N32" i="12"/>
  <c r="N30" i="12"/>
  <c r="M13" i="12"/>
  <c r="N76" i="15"/>
  <c r="N77" i="15" s="1"/>
  <c r="M76" i="15"/>
  <c r="M77" i="15" s="1"/>
  <c r="L76" i="15"/>
  <c r="L77" i="15" s="1"/>
  <c r="K76" i="15"/>
  <c r="K77" i="15" s="1"/>
  <c r="J76" i="15"/>
  <c r="J77" i="15" s="1"/>
  <c r="I76" i="15"/>
  <c r="H76" i="15"/>
  <c r="H77" i="15" s="1"/>
  <c r="G76" i="15"/>
  <c r="G77" i="15" s="1"/>
  <c r="F76" i="15"/>
  <c r="F77" i="15" s="1"/>
  <c r="E76" i="15"/>
  <c r="E77" i="15" s="1"/>
  <c r="D76" i="15"/>
  <c r="D77" i="15" s="1"/>
  <c r="C76" i="15"/>
  <c r="C77" i="15" s="1"/>
  <c r="N74" i="15"/>
  <c r="M74" i="15"/>
  <c r="L74" i="15"/>
  <c r="K74" i="15"/>
  <c r="J74" i="15"/>
  <c r="I74" i="15"/>
  <c r="H74" i="15"/>
  <c r="G74" i="15"/>
  <c r="F74" i="15"/>
  <c r="E74" i="15"/>
  <c r="D74" i="15"/>
  <c r="C74" i="15"/>
  <c r="M28" i="12"/>
  <c r="Z16" i="7"/>
  <c r="Z19" i="7"/>
  <c r="Z31" i="7"/>
  <c r="D90" i="15"/>
  <c r="E90" i="15" s="1"/>
  <c r="F90" i="15" s="1"/>
  <c r="G90" i="15" s="1"/>
  <c r="H90" i="15" s="1"/>
  <c r="I90" i="15" s="1"/>
  <c r="J90" i="15" s="1"/>
  <c r="K90" i="15" s="1"/>
  <c r="L90" i="15" s="1"/>
  <c r="M90" i="15" s="1"/>
  <c r="N90" i="15" s="1"/>
  <c r="O90" i="15" s="1"/>
  <c r="D88" i="15"/>
  <c r="E88" i="15" s="1"/>
  <c r="F88" i="15" s="1"/>
  <c r="G88" i="15" s="1"/>
  <c r="H88" i="15" s="1"/>
  <c r="I88" i="15" s="1"/>
  <c r="J88" i="15" s="1"/>
  <c r="K88" i="15" s="1"/>
  <c r="L88" i="15" s="1"/>
  <c r="M88" i="15" s="1"/>
  <c r="N88" i="15" s="1"/>
  <c r="O88" i="15" s="1"/>
  <c r="AA35" i="7" l="1"/>
  <c r="AA33" i="7"/>
  <c r="I77" i="15"/>
  <c r="N13" i="12"/>
  <c r="N17" i="12" s="1"/>
  <c r="I67" i="15"/>
  <c r="N72" i="15"/>
  <c r="N73" i="15" s="1"/>
  <c r="M72" i="15"/>
  <c r="M73" i="15" s="1"/>
  <c r="L72" i="15"/>
  <c r="L73" i="15" s="1"/>
  <c r="K72" i="15"/>
  <c r="K73" i="15" s="1"/>
  <c r="J72" i="15"/>
  <c r="J73" i="15" s="1"/>
  <c r="I72" i="15"/>
  <c r="H72" i="15"/>
  <c r="H73" i="15" s="1"/>
  <c r="G72" i="15"/>
  <c r="G73" i="15" s="1"/>
  <c r="Z13" i="7" s="1"/>
  <c r="Z22" i="7" s="1"/>
  <c r="AA23" i="7" s="1"/>
  <c r="F72" i="15"/>
  <c r="F73" i="15" s="1"/>
  <c r="E72" i="15"/>
  <c r="E73" i="15" s="1"/>
  <c r="D72" i="15"/>
  <c r="D73" i="15" s="1"/>
  <c r="C72" i="15"/>
  <c r="C73" i="15" s="1"/>
  <c r="Y31" i="7"/>
  <c r="Y19" i="7"/>
  <c r="R55" i="17"/>
  <c r="S58" i="17" s="1"/>
  <c r="Q55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C68" i="15"/>
  <c r="C69" i="15" s="1"/>
  <c r="D68" i="15"/>
  <c r="D69" i="15" s="1"/>
  <c r="E68" i="15"/>
  <c r="E69" i="15" s="1"/>
  <c r="F68" i="15"/>
  <c r="F69" i="15" s="1"/>
  <c r="G68" i="15"/>
  <c r="G69" i="15" s="1"/>
  <c r="Y13" i="7" s="1"/>
  <c r="Y22" i="7" s="1"/>
  <c r="H68" i="15"/>
  <c r="H69" i="15" s="1"/>
  <c r="J68" i="15"/>
  <c r="J69" i="15" s="1"/>
  <c r="K68" i="15"/>
  <c r="K69" i="15" s="1"/>
  <c r="L68" i="15"/>
  <c r="L69" i="15" s="1"/>
  <c r="M68" i="15"/>
  <c r="M69" i="15" s="1"/>
  <c r="N68" i="15"/>
  <c r="N69" i="15" s="1"/>
  <c r="J15" i="19"/>
  <c r="N49" i="17"/>
  <c r="M49" i="17"/>
  <c r="L49" i="17"/>
  <c r="K49" i="17"/>
  <c r="J49" i="17"/>
  <c r="I49" i="17"/>
  <c r="H49" i="17"/>
  <c r="G49" i="17"/>
  <c r="F49" i="17"/>
  <c r="E49" i="17"/>
  <c r="D49" i="17"/>
  <c r="C49" i="17"/>
  <c r="Q49" i="17" s="1"/>
  <c r="N42" i="17"/>
  <c r="M42" i="17"/>
  <c r="L42" i="17"/>
  <c r="R42" i="17" s="1"/>
  <c r="K42" i="17"/>
  <c r="J42" i="17"/>
  <c r="I42" i="17"/>
  <c r="H42" i="17"/>
  <c r="G42" i="17"/>
  <c r="F42" i="17"/>
  <c r="E42" i="17"/>
  <c r="D42" i="17"/>
  <c r="P42" i="17" s="1"/>
  <c r="C42" i="17"/>
  <c r="Q42" i="17" s="1"/>
  <c r="N35" i="17"/>
  <c r="M35" i="17"/>
  <c r="L35" i="17"/>
  <c r="R35" i="17" s="1"/>
  <c r="K35" i="17"/>
  <c r="J35" i="17"/>
  <c r="I35" i="17"/>
  <c r="H35" i="17"/>
  <c r="G35" i="17"/>
  <c r="F35" i="17"/>
  <c r="E35" i="17"/>
  <c r="D35" i="17"/>
  <c r="Q35" i="17" s="1"/>
  <c r="C35" i="17"/>
  <c r="P35" i="17" s="1"/>
  <c r="N28" i="17"/>
  <c r="M28" i="17"/>
  <c r="L28" i="17"/>
  <c r="R28" i="17" s="1"/>
  <c r="K28" i="17"/>
  <c r="J28" i="17"/>
  <c r="I28" i="17"/>
  <c r="H28" i="17"/>
  <c r="G28" i="17"/>
  <c r="F28" i="17"/>
  <c r="E28" i="17"/>
  <c r="D28" i="17"/>
  <c r="P28" i="17" s="1"/>
  <c r="C28" i="17"/>
  <c r="Q28" i="17" s="1"/>
  <c r="N21" i="17"/>
  <c r="M21" i="17"/>
  <c r="L21" i="17"/>
  <c r="R21" i="17" s="1"/>
  <c r="K21" i="17"/>
  <c r="J21" i="17"/>
  <c r="I21" i="17"/>
  <c r="H21" i="17"/>
  <c r="G21" i="17"/>
  <c r="F21" i="17"/>
  <c r="E21" i="17"/>
  <c r="D21" i="17"/>
  <c r="Q21" i="17" s="1"/>
  <c r="S17" i="17" s="1"/>
  <c r="E35" i="19" s="1"/>
  <c r="E36" i="19" s="1"/>
  <c r="C21" i="17"/>
  <c r="P21" i="17" s="1"/>
  <c r="N14" i="17"/>
  <c r="M14" i="17"/>
  <c r="L14" i="17"/>
  <c r="R14" i="17" s="1"/>
  <c r="K14" i="17"/>
  <c r="J14" i="17"/>
  <c r="I14" i="17"/>
  <c r="H14" i="17"/>
  <c r="G14" i="17"/>
  <c r="F14" i="17"/>
  <c r="E14" i="17"/>
  <c r="D14" i="17"/>
  <c r="C14" i="17"/>
  <c r="N26" i="12" l="1"/>
  <c r="N24" i="12"/>
  <c r="N22" i="12"/>
  <c r="N20" i="12"/>
  <c r="N19" i="12"/>
  <c r="N18" i="12"/>
  <c r="Z26" i="7"/>
  <c r="Z35" i="7" s="1"/>
  <c r="Z24" i="7"/>
  <c r="Z33" i="7" s="1"/>
  <c r="Z28" i="7"/>
  <c r="Z23" i="7"/>
  <c r="I73" i="15"/>
  <c r="M17" i="12"/>
  <c r="M24" i="12" s="1"/>
  <c r="M22" i="12"/>
  <c r="M26" i="12"/>
  <c r="M20" i="12"/>
  <c r="I68" i="15"/>
  <c r="I69" i="15" s="1"/>
  <c r="Y26" i="7"/>
  <c r="Y35" i="7" s="1"/>
  <c r="Y23" i="7"/>
  <c r="Y28" i="7"/>
  <c r="Y24" i="7"/>
  <c r="Y33" i="7" s="1"/>
  <c r="P55" i="17"/>
  <c r="R49" i="17"/>
  <c r="S52" i="17" s="1"/>
  <c r="J35" i="19" s="1"/>
  <c r="J36" i="19" s="1"/>
  <c r="P49" i="17"/>
  <c r="S45" i="17"/>
  <c r="I35" i="19" s="1"/>
  <c r="I36" i="19" s="1"/>
  <c r="S38" i="17"/>
  <c r="H35" i="19" s="1"/>
  <c r="H36" i="19" s="1"/>
  <c r="S31" i="17"/>
  <c r="G35" i="19" s="1"/>
  <c r="G36" i="19" s="1"/>
  <c r="S24" i="17"/>
  <c r="F35" i="19" s="1"/>
  <c r="F36" i="19" s="1"/>
  <c r="P14" i="17"/>
  <c r="Q14" i="17"/>
  <c r="J16" i="19"/>
  <c r="I15" i="19"/>
  <c r="I16" i="19" s="1"/>
  <c r="H15" i="19"/>
  <c r="H16" i="19" s="1"/>
  <c r="G15" i="19"/>
  <c r="G16" i="19" s="1"/>
  <c r="F15" i="19"/>
  <c r="F16" i="19" s="1"/>
  <c r="E15" i="19"/>
  <c r="E16" i="19" s="1"/>
  <c r="E14" i="19"/>
  <c r="E13" i="19"/>
  <c r="D46" i="19"/>
  <c r="E45" i="19" s="1"/>
  <c r="J27" i="19"/>
  <c r="J30" i="19" s="1"/>
  <c r="I27" i="19"/>
  <c r="I30" i="19" s="1"/>
  <c r="I31" i="19" s="1"/>
  <c r="H27" i="19"/>
  <c r="H30" i="19" s="1"/>
  <c r="G27" i="19"/>
  <c r="G30" i="19" s="1"/>
  <c r="F27" i="19"/>
  <c r="F30" i="19" s="1"/>
  <c r="E27" i="19"/>
  <c r="E30" i="19" s="1"/>
  <c r="E31" i="19" s="1"/>
  <c r="J15" i="8"/>
  <c r="J16" i="8" s="1"/>
  <c r="I15" i="8"/>
  <c r="H15" i="8"/>
  <c r="G15" i="8"/>
  <c r="F15" i="8"/>
  <c r="E15" i="8"/>
  <c r="J27" i="8"/>
  <c r="K17" i="12"/>
  <c r="L13" i="12" l="1"/>
  <c r="L17" i="12" s="1"/>
  <c r="L26" i="12" s="1"/>
  <c r="M18" i="12"/>
  <c r="L20" i="12"/>
  <c r="K24" i="12"/>
  <c r="L18" i="12"/>
  <c r="G45" i="19"/>
  <c r="I45" i="19"/>
  <c r="J45" i="19"/>
  <c r="H45" i="19"/>
  <c r="F45" i="19"/>
  <c r="E37" i="19"/>
  <c r="I37" i="19"/>
  <c r="D49" i="19"/>
  <c r="H51" i="19" s="1"/>
  <c r="E18" i="19"/>
  <c r="K22" i="12"/>
  <c r="K20" i="12"/>
  <c r="K26" i="12"/>
  <c r="H31" i="19"/>
  <c r="H37" i="19" s="1"/>
  <c r="G31" i="19"/>
  <c r="G37" i="19" s="1"/>
  <c r="F31" i="19"/>
  <c r="F37" i="19" s="1"/>
  <c r="J31" i="19"/>
  <c r="J37" i="19" s="1"/>
  <c r="W22" i="7"/>
  <c r="W24" i="7" s="1"/>
  <c r="X22" i="7"/>
  <c r="N64" i="15"/>
  <c r="N65" i="15" s="1"/>
  <c r="M64" i="15"/>
  <c r="M65" i="15" s="1"/>
  <c r="L64" i="15"/>
  <c r="L65" i="15" s="1"/>
  <c r="K64" i="15"/>
  <c r="K65" i="15" s="1"/>
  <c r="J64" i="15"/>
  <c r="J65" i="15" s="1"/>
  <c r="I64" i="15"/>
  <c r="I65" i="15" s="1"/>
  <c r="H64" i="15"/>
  <c r="H65" i="15" s="1"/>
  <c r="G64" i="15"/>
  <c r="G65" i="15" s="1"/>
  <c r="F64" i="15"/>
  <c r="F65" i="15" s="1"/>
  <c r="E64" i="15"/>
  <c r="E65" i="15" s="1"/>
  <c r="D64" i="15"/>
  <c r="D65" i="15" s="1"/>
  <c r="C64" i="15"/>
  <c r="C65" i="15" s="1"/>
  <c r="L22" i="12" l="1"/>
  <c r="L24" i="12"/>
  <c r="J13" i="8"/>
  <c r="J13" i="19"/>
  <c r="J14" i="8"/>
  <c r="J14" i="19"/>
  <c r="J18" i="8"/>
  <c r="F51" i="19"/>
  <c r="J51" i="19"/>
  <c r="E51" i="19"/>
  <c r="I51" i="19"/>
  <c r="G51" i="19"/>
  <c r="W26" i="7"/>
  <c r="W28" i="7"/>
  <c r="X23" i="7"/>
  <c r="X28" i="7"/>
  <c r="X24" i="7"/>
  <c r="J26" i="8" s="1"/>
  <c r="J28" i="8" s="1"/>
  <c r="J30" i="8" s="1"/>
  <c r="X26" i="7"/>
  <c r="J18" i="19" l="1"/>
  <c r="J37" i="8"/>
  <c r="J38" i="8" s="1"/>
  <c r="N60" i="15"/>
  <c r="N61" i="15" s="1"/>
  <c r="M60" i="15"/>
  <c r="M61" i="15" s="1"/>
  <c r="L60" i="15"/>
  <c r="L61" i="15" s="1"/>
  <c r="K60" i="15"/>
  <c r="K61" i="15" s="1"/>
  <c r="J60" i="15"/>
  <c r="J61" i="15" s="1"/>
  <c r="I60" i="15"/>
  <c r="I61" i="15" s="1"/>
  <c r="H60" i="15"/>
  <c r="H61" i="15" s="1"/>
  <c r="G60" i="15"/>
  <c r="G61" i="15" s="1"/>
  <c r="F60" i="15"/>
  <c r="F61" i="15" s="1"/>
  <c r="E60" i="15"/>
  <c r="E61" i="15" s="1"/>
  <c r="D60" i="15"/>
  <c r="D61" i="15" s="1"/>
  <c r="C60" i="15"/>
  <c r="C61" i="15" s="1"/>
  <c r="N56" i="15"/>
  <c r="N57" i="15" s="1"/>
  <c r="M56" i="15"/>
  <c r="M57" i="15" s="1"/>
  <c r="L56" i="15"/>
  <c r="L57" i="15" s="1"/>
  <c r="K56" i="15"/>
  <c r="K57" i="15" s="1"/>
  <c r="J56" i="15"/>
  <c r="J57" i="15" s="1"/>
  <c r="I56" i="15"/>
  <c r="I57" i="15" s="1"/>
  <c r="H56" i="15"/>
  <c r="H57" i="15" s="1"/>
  <c r="G56" i="15"/>
  <c r="G57" i="15" s="1"/>
  <c r="F56" i="15"/>
  <c r="F57" i="15" s="1"/>
  <c r="E56" i="15"/>
  <c r="E57" i="15" s="1"/>
  <c r="D56" i="15"/>
  <c r="D57" i="15" s="1"/>
  <c r="C56" i="15"/>
  <c r="C57" i="15" s="1"/>
  <c r="N52" i="15"/>
  <c r="N53" i="15" s="1"/>
  <c r="M52" i="15"/>
  <c r="M53" i="15" s="1"/>
  <c r="L52" i="15"/>
  <c r="L53" i="15" s="1"/>
  <c r="K52" i="15"/>
  <c r="K53" i="15" s="1"/>
  <c r="J52" i="15"/>
  <c r="J53" i="15" s="1"/>
  <c r="I52" i="15"/>
  <c r="I53" i="15" s="1"/>
  <c r="H52" i="15"/>
  <c r="H53" i="15" s="1"/>
  <c r="G52" i="15"/>
  <c r="G53" i="15" s="1"/>
  <c r="F52" i="15"/>
  <c r="F53" i="15" s="1"/>
  <c r="E52" i="15"/>
  <c r="E53" i="15" s="1"/>
  <c r="D52" i="15"/>
  <c r="D53" i="15" s="1"/>
  <c r="C52" i="15"/>
  <c r="C53" i="15" s="1"/>
  <c r="N44" i="15"/>
  <c r="M44" i="15"/>
  <c r="L44" i="15"/>
  <c r="K44" i="15"/>
  <c r="J44" i="15"/>
  <c r="I44" i="15"/>
  <c r="H44" i="15"/>
  <c r="G44" i="15"/>
  <c r="F44" i="15"/>
  <c r="E44" i="15"/>
  <c r="D44" i="15"/>
  <c r="C44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N36" i="15"/>
  <c r="N39" i="15" s="1"/>
  <c r="N42" i="15" s="1"/>
  <c r="N50" i="15" s="1"/>
  <c r="N54" i="15" s="1"/>
  <c r="N58" i="15" s="1"/>
  <c r="N62" i="15" s="1"/>
  <c r="N66" i="15" s="1"/>
  <c r="N70" i="15" s="1"/>
  <c r="M36" i="15"/>
  <c r="M39" i="15" s="1"/>
  <c r="M42" i="15" s="1"/>
  <c r="M50" i="15" s="1"/>
  <c r="M54" i="15" s="1"/>
  <c r="M58" i="15" s="1"/>
  <c r="M62" i="15" s="1"/>
  <c r="M66" i="15" s="1"/>
  <c r="M70" i="15" s="1"/>
  <c r="L36" i="15"/>
  <c r="L39" i="15" s="1"/>
  <c r="L42" i="15" s="1"/>
  <c r="L50" i="15" s="1"/>
  <c r="L54" i="15" s="1"/>
  <c r="L58" i="15" s="1"/>
  <c r="L62" i="15" s="1"/>
  <c r="L66" i="15" s="1"/>
  <c r="L70" i="15" s="1"/>
  <c r="K36" i="15"/>
  <c r="K39" i="15" s="1"/>
  <c r="K42" i="15" s="1"/>
  <c r="K50" i="15" s="1"/>
  <c r="K54" i="15" s="1"/>
  <c r="K58" i="15" s="1"/>
  <c r="K62" i="15" s="1"/>
  <c r="K66" i="15" s="1"/>
  <c r="K70" i="15" s="1"/>
  <c r="J36" i="15"/>
  <c r="J39" i="15" s="1"/>
  <c r="J42" i="15" s="1"/>
  <c r="J50" i="15" s="1"/>
  <c r="J54" i="15" s="1"/>
  <c r="J58" i="15" s="1"/>
  <c r="J62" i="15" s="1"/>
  <c r="J66" i="15" s="1"/>
  <c r="J70" i="15" s="1"/>
  <c r="I36" i="15"/>
  <c r="I39" i="15" s="1"/>
  <c r="I42" i="15" s="1"/>
  <c r="I50" i="15" s="1"/>
  <c r="I54" i="15" s="1"/>
  <c r="I58" i="15" s="1"/>
  <c r="I62" i="15" s="1"/>
  <c r="I66" i="15" s="1"/>
  <c r="I70" i="15" s="1"/>
  <c r="H36" i="15"/>
  <c r="H39" i="15" s="1"/>
  <c r="H42" i="15" s="1"/>
  <c r="H50" i="15" s="1"/>
  <c r="H54" i="15" s="1"/>
  <c r="H58" i="15" s="1"/>
  <c r="H62" i="15" s="1"/>
  <c r="H66" i="15" s="1"/>
  <c r="H70" i="15" s="1"/>
  <c r="G36" i="15"/>
  <c r="G39" i="15" s="1"/>
  <c r="G42" i="15" s="1"/>
  <c r="G50" i="15" s="1"/>
  <c r="G54" i="15" s="1"/>
  <c r="G58" i="15" s="1"/>
  <c r="G62" i="15" s="1"/>
  <c r="G66" i="15" s="1"/>
  <c r="G70" i="15" s="1"/>
  <c r="F36" i="15"/>
  <c r="F39" i="15" s="1"/>
  <c r="F42" i="15" s="1"/>
  <c r="F50" i="15" s="1"/>
  <c r="F54" i="15" s="1"/>
  <c r="F58" i="15" s="1"/>
  <c r="F62" i="15" s="1"/>
  <c r="F66" i="15" s="1"/>
  <c r="F70" i="15" s="1"/>
  <c r="E36" i="15"/>
  <c r="E39" i="15" s="1"/>
  <c r="E42" i="15" s="1"/>
  <c r="E50" i="15" s="1"/>
  <c r="E54" i="15" s="1"/>
  <c r="E58" i="15" s="1"/>
  <c r="E62" i="15" s="1"/>
  <c r="E66" i="15" s="1"/>
  <c r="E70" i="15" s="1"/>
  <c r="D36" i="15"/>
  <c r="D39" i="15" s="1"/>
  <c r="D42" i="15" s="1"/>
  <c r="D50" i="15" s="1"/>
  <c r="D54" i="15" s="1"/>
  <c r="D58" i="15" s="1"/>
  <c r="D62" i="15" s="1"/>
  <c r="D66" i="15" s="1"/>
  <c r="D70" i="15" s="1"/>
  <c r="C36" i="15"/>
  <c r="C39" i="15" s="1"/>
  <c r="C42" i="15" s="1"/>
  <c r="C50" i="15" s="1"/>
  <c r="C54" i="15" s="1"/>
  <c r="C58" i="15" s="1"/>
  <c r="C62" i="15" s="1"/>
  <c r="C66" i="15" s="1"/>
  <c r="C70" i="15" s="1"/>
  <c r="N35" i="15"/>
  <c r="M35" i="15"/>
  <c r="L35" i="15"/>
  <c r="K35" i="15"/>
  <c r="J35" i="15"/>
  <c r="I35" i="15"/>
  <c r="H35" i="15"/>
  <c r="G35" i="15"/>
  <c r="F35" i="15"/>
  <c r="E35" i="15"/>
  <c r="D35" i="15"/>
  <c r="C35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I16" i="8"/>
  <c r="H16" i="8"/>
  <c r="G16" i="8"/>
  <c r="F16" i="8"/>
  <c r="E16" i="8"/>
  <c r="E14" i="8" l="1"/>
  <c r="E13" i="8"/>
  <c r="E18" i="8" l="1"/>
  <c r="I27" i="8"/>
  <c r="I26" i="8"/>
  <c r="H27" i="8"/>
  <c r="I28" i="8" l="1"/>
  <c r="I30" i="8" s="1"/>
  <c r="J17" i="12"/>
  <c r="I17" i="12"/>
  <c r="H17" i="12"/>
  <c r="G17" i="12"/>
  <c r="F17" i="12"/>
  <c r="M19" i="12" s="1"/>
  <c r="V22" i="7"/>
  <c r="G32" i="12"/>
  <c r="H32" i="12" s="1"/>
  <c r="I32" i="12" s="1"/>
  <c r="J32" i="12" s="1"/>
  <c r="K32" i="12" s="1"/>
  <c r="L32" i="12" s="1"/>
  <c r="M32" i="12" s="1"/>
  <c r="F30" i="12"/>
  <c r="G27" i="8"/>
  <c r="K19" i="12" l="1"/>
  <c r="L19" i="12"/>
  <c r="E19" i="19"/>
  <c r="E20" i="19" s="1"/>
  <c r="E21" i="19" s="1"/>
  <c r="E39" i="19" s="1"/>
  <c r="E40" i="19" s="1"/>
  <c r="E19" i="8"/>
  <c r="I26" i="12"/>
  <c r="I19" i="12"/>
  <c r="H20" i="12"/>
  <c r="G13" i="19" s="1"/>
  <c r="H19" i="12"/>
  <c r="G26" i="12"/>
  <c r="G19" i="12"/>
  <c r="J20" i="12"/>
  <c r="I13" i="19" s="1"/>
  <c r="J18" i="12"/>
  <c r="J19" i="12"/>
  <c r="K18" i="12"/>
  <c r="V28" i="7"/>
  <c r="W23" i="7"/>
  <c r="G13" i="8"/>
  <c r="G30" i="12"/>
  <c r="G20" i="12"/>
  <c r="F13" i="19" s="1"/>
  <c r="G22" i="12"/>
  <c r="G24" i="12"/>
  <c r="H26" i="12"/>
  <c r="H22" i="12"/>
  <c r="H24" i="12"/>
  <c r="I20" i="12"/>
  <c r="H13" i="19" s="1"/>
  <c r="I22" i="12"/>
  <c r="I24" i="12"/>
  <c r="J22" i="12"/>
  <c r="I14" i="19" s="1"/>
  <c r="J26" i="12"/>
  <c r="J24" i="12"/>
  <c r="G18" i="12"/>
  <c r="H18" i="12"/>
  <c r="I18" i="12"/>
  <c r="V26" i="7"/>
  <c r="V24" i="7"/>
  <c r="U22" i="7"/>
  <c r="F27" i="8"/>
  <c r="E27" i="8"/>
  <c r="T22" i="7"/>
  <c r="I13" i="8" l="1"/>
  <c r="I18" i="19"/>
  <c r="H14" i="8"/>
  <c r="H14" i="19"/>
  <c r="H18" i="19" s="1"/>
  <c r="H30" i="12"/>
  <c r="F19" i="19"/>
  <c r="F20" i="19" s="1"/>
  <c r="F19" i="8"/>
  <c r="G14" i="8"/>
  <c r="G18" i="8" s="1"/>
  <c r="G14" i="19"/>
  <c r="G18" i="19" s="1"/>
  <c r="F14" i="8"/>
  <c r="F14" i="19"/>
  <c r="F18" i="19" s="1"/>
  <c r="U28" i="7"/>
  <c r="U23" i="7"/>
  <c r="H26" i="8"/>
  <c r="H28" i="8" s="1"/>
  <c r="H30" i="8" s="1"/>
  <c r="V23" i="7"/>
  <c r="H13" i="8"/>
  <c r="F13" i="8"/>
  <c r="I14" i="8"/>
  <c r="U26" i="7"/>
  <c r="U24" i="7"/>
  <c r="T28" i="7"/>
  <c r="T26" i="7"/>
  <c r="T24" i="7"/>
  <c r="F26" i="8" s="1"/>
  <c r="F28" i="8" s="1"/>
  <c r="F30" i="8" s="1"/>
  <c r="H18" i="8" l="1"/>
  <c r="F18" i="8"/>
  <c r="F37" i="8" s="1"/>
  <c r="F38" i="8" s="1"/>
  <c r="F21" i="19"/>
  <c r="F39" i="19" s="1"/>
  <c r="F40" i="19" s="1"/>
  <c r="I30" i="12"/>
  <c r="G19" i="8"/>
  <c r="G19" i="19"/>
  <c r="G20" i="19" s="1"/>
  <c r="G21" i="19" s="1"/>
  <c r="G39" i="19" s="1"/>
  <c r="G40" i="19" s="1"/>
  <c r="H37" i="8"/>
  <c r="H38" i="8" s="1"/>
  <c r="I18" i="8"/>
  <c r="I37" i="8" s="1"/>
  <c r="I38" i="8" s="1"/>
  <c r="G26" i="8"/>
  <c r="G28" i="8" s="1"/>
  <c r="G30" i="8" s="1"/>
  <c r="J30" i="12" l="1"/>
  <c r="H19" i="8"/>
  <c r="H19" i="19"/>
  <c r="H20" i="19" s="1"/>
  <c r="H21" i="19" s="1"/>
  <c r="H39" i="19" s="1"/>
  <c r="H40" i="19" s="1"/>
  <c r="G37" i="8"/>
  <c r="G38" i="8" s="1"/>
  <c r="S22" i="7"/>
  <c r="R22" i="7"/>
  <c r="Q22" i="7"/>
  <c r="Q24" i="7" s="1"/>
  <c r="P22" i="7"/>
  <c r="P24" i="7" s="1"/>
  <c r="O22" i="7"/>
  <c r="O26" i="7" s="1"/>
  <c r="O35" i="7" s="1"/>
  <c r="N22" i="7"/>
  <c r="M22" i="7"/>
  <c r="L22" i="7"/>
  <c r="K22" i="7"/>
  <c r="K23" i="7" s="1"/>
  <c r="J22" i="7"/>
  <c r="I22" i="7"/>
  <c r="H22" i="7"/>
  <c r="G22" i="7"/>
  <c r="F35" i="7"/>
  <c r="F33" i="7"/>
  <c r="N23" i="7" l="1"/>
  <c r="R23" i="7"/>
  <c r="K30" i="12"/>
  <c r="L30" i="12" s="1"/>
  <c r="M30" i="12" s="1"/>
  <c r="I19" i="19"/>
  <c r="I20" i="19" s="1"/>
  <c r="I21" i="19" s="1"/>
  <c r="I39" i="19" s="1"/>
  <c r="I40" i="19" s="1"/>
  <c r="I19" i="8"/>
  <c r="Q23" i="7"/>
  <c r="G28" i="7"/>
  <c r="G23" i="7"/>
  <c r="H28" i="7"/>
  <c r="H23" i="7"/>
  <c r="R28" i="7"/>
  <c r="J24" i="7"/>
  <c r="J33" i="7" s="1"/>
  <c r="J23" i="7"/>
  <c r="I24" i="7"/>
  <c r="I33" i="7" s="1"/>
  <c r="I23" i="7"/>
  <c r="O23" i="7"/>
  <c r="S26" i="7"/>
  <c r="S23" i="7"/>
  <c r="T23" i="7"/>
  <c r="L24" i="7"/>
  <c r="L23" i="7"/>
  <c r="N28" i="7"/>
  <c r="K26" i="7"/>
  <c r="K35" i="7" s="1"/>
  <c r="P23" i="7"/>
  <c r="M24" i="7"/>
  <c r="M23" i="7"/>
  <c r="G24" i="7"/>
  <c r="J26" i="7"/>
  <c r="J35" i="7" s="1"/>
  <c r="J28" i="7"/>
  <c r="H24" i="7"/>
  <c r="I26" i="7"/>
  <c r="I35" i="7" s="1"/>
  <c r="I28" i="7"/>
  <c r="H26" i="7"/>
  <c r="H35" i="7" s="1"/>
  <c r="G26" i="7"/>
  <c r="G35" i="7" s="1"/>
  <c r="P33" i="7"/>
  <c r="Q33" i="7"/>
  <c r="K24" i="7"/>
  <c r="O24" i="7"/>
  <c r="S24" i="7"/>
  <c r="E26" i="8" s="1"/>
  <c r="E28" i="8" s="1"/>
  <c r="N26" i="7"/>
  <c r="N35" i="7" s="1"/>
  <c r="R26" i="7"/>
  <c r="R35" i="7" s="1"/>
  <c r="M28" i="7"/>
  <c r="Q28" i="7"/>
  <c r="N24" i="7"/>
  <c r="R24" i="7"/>
  <c r="M26" i="7"/>
  <c r="M35" i="7" s="1"/>
  <c r="Q26" i="7"/>
  <c r="Q35" i="7" s="1"/>
  <c r="L28" i="7"/>
  <c r="P28" i="7"/>
  <c r="S31" i="7"/>
  <c r="L26" i="7"/>
  <c r="L35" i="7" s="1"/>
  <c r="P26" i="7"/>
  <c r="P35" i="7" s="1"/>
  <c r="K28" i="7"/>
  <c r="O28" i="7"/>
  <c r="S28" i="7"/>
  <c r="J19" i="19" l="1"/>
  <c r="J20" i="19" s="1"/>
  <c r="J21" i="19" s="1"/>
  <c r="J39" i="19" s="1"/>
  <c r="J40" i="19" s="1"/>
  <c r="J19" i="8"/>
  <c r="E30" i="8"/>
  <c r="E37" i="8"/>
  <c r="E38" i="8" s="1"/>
  <c r="L33" i="7"/>
  <c r="M33" i="7"/>
  <c r="T31" i="7"/>
  <c r="E31" i="8"/>
  <c r="S35" i="7"/>
  <c r="G33" i="7"/>
  <c r="H33" i="7"/>
  <c r="K33" i="7"/>
  <c r="N33" i="7"/>
  <c r="O33" i="7"/>
  <c r="R33" i="7"/>
  <c r="S33" i="7"/>
  <c r="E32" i="8" l="1"/>
  <c r="E33" i="8" s="1"/>
  <c r="E20" i="8"/>
  <c r="E21" i="8" s="1"/>
  <c r="U31" i="7"/>
  <c r="V31" i="7" s="1"/>
  <c r="F31" i="8"/>
  <c r="T35" i="7"/>
  <c r="T33" i="7"/>
  <c r="E35" i="8" l="1"/>
  <c r="E36" i="8" s="1"/>
  <c r="W31" i="7"/>
  <c r="H31" i="8"/>
  <c r="V33" i="7"/>
  <c r="V35" i="7"/>
  <c r="F32" i="8"/>
  <c r="F33" i="8" s="1"/>
  <c r="F20" i="8"/>
  <c r="F21" i="8" s="1"/>
  <c r="G31" i="8"/>
  <c r="U35" i="7"/>
  <c r="U33" i="7"/>
  <c r="F35" i="8" l="1"/>
  <c r="F36" i="8" s="1"/>
  <c r="H20" i="8"/>
  <c r="H21" i="8" s="1"/>
  <c r="H32" i="8"/>
  <c r="H33" i="8" s="1"/>
  <c r="X31" i="7"/>
  <c r="J31" i="8" s="1"/>
  <c r="W33" i="7"/>
  <c r="W35" i="7"/>
  <c r="I31" i="8"/>
  <c r="G32" i="8"/>
  <c r="G33" i="8" s="1"/>
  <c r="G20" i="8"/>
  <c r="G21" i="8" s="1"/>
  <c r="H35" i="8" l="1"/>
  <c r="H36" i="8" s="1"/>
  <c r="G35" i="8"/>
  <c r="G36" i="8" s="1"/>
  <c r="J20" i="8"/>
  <c r="J21" i="8" s="1"/>
  <c r="J32" i="8"/>
  <c r="J33" i="8" s="1"/>
  <c r="I32" i="8"/>
  <c r="I33" i="8" s="1"/>
  <c r="X33" i="7"/>
  <c r="X35" i="7"/>
  <c r="J35" i="8" l="1"/>
  <c r="J36" i="8" s="1"/>
  <c r="I20" i="8"/>
  <c r="I21" i="8" s="1"/>
  <c r="I35" i="8" s="1"/>
  <c r="I36" i="8" s="1"/>
  <c r="L28" i="12" l="1"/>
</calcChain>
</file>

<file path=xl/sharedStrings.xml><?xml version="1.0" encoding="utf-8"?>
<sst xmlns="http://schemas.openxmlformats.org/spreadsheetml/2006/main" count="535" uniqueCount="294">
  <si>
    <t>INDICE DI RIFERIMENTO</t>
  </si>
  <si>
    <t>PESO</t>
  </si>
  <si>
    <t>A)</t>
  </si>
  <si>
    <t>INDICE PREZZI AL CONSUMO FAMIGLIE</t>
  </si>
  <si>
    <t>(Bollettino mensile di statistica ISTAT)</t>
  </si>
  <si>
    <t>B)</t>
  </si>
  <si>
    <t>COSTO EVITATO DEL COMBUSTIBILE</t>
  </si>
  <si>
    <t>(CIP 6/92, titolo II, punto 2)</t>
  </si>
  <si>
    <t>C)</t>
  </si>
  <si>
    <t>COSTO ORARIO MANO D'OPERA ( € )</t>
  </si>
  <si>
    <t>(Bollettino ASSISTAL, addetto IV livello)</t>
  </si>
  <si>
    <t>VALORE DELL'INDICE DI REVISIONE ==&gt;</t>
  </si>
  <si>
    <t>Qv PER CONTRATTO A FORFAIT</t>
  </si>
  <si>
    <t>Qv PER CONTRATTO A MISURA</t>
  </si>
  <si>
    <t>QUOTA FISSA CONTRATTO A MISURA</t>
  </si>
  <si>
    <t>D - Agevolazione fiscale ex Legge n.448/98 (v.nota 1)</t>
  </si>
  <si>
    <t>Qv PER CONTRATTO A FORFAIT CIVA CON DEFISC.</t>
  </si>
  <si>
    <t>Qv PER CONTRATTO A MISURAC IVA CON DEFISC.</t>
  </si>
  <si>
    <t>E - Contributo allaccio ex Legge n.338/00 (v.nota 2)</t>
  </si>
  <si>
    <t>Note:</t>
  </si>
  <si>
    <t xml:space="preserve">    1 - Trasferimento all'utente dell'agevolazione fiscale in credito d'imposta ex Legge 23/12/1998 n.448 art.8 comma 10 lett.f) e s.m.i.</t>
  </si>
  <si>
    <t xml:space="preserve">    2 - Trasferimento all'utente del contributo in credito d'imposta ex Legge 23/12/2000 n.388 art.29 comma 1 e s.m.i.</t>
  </si>
  <si>
    <t>PREZZI DI RIFERIMENTO ALLA DATA 1.5.2001 DELIBERATI DALL'AMMINISTRAZIONE COMUNALE DI SANTA FIORA (Delib. Cons. Com. n.8 del 31/1/2006)</t>
  </si>
  <si>
    <t>Euro/MWh</t>
  </si>
  <si>
    <t>Euro/KW</t>
  </si>
  <si>
    <t>Euro/lt</t>
  </si>
  <si>
    <t>KWh/lt</t>
  </si>
  <si>
    <t>MWh/anno</t>
  </si>
  <si>
    <t>Euro/anno</t>
  </si>
  <si>
    <t>Fonte - Ministero Sviluppo Economico</t>
  </si>
  <si>
    <t>incidenza costo manutenzione imp. Termico</t>
  </si>
  <si>
    <t>costo servizio riscaldamento a gasolio IVA compresa</t>
  </si>
  <si>
    <t>tariffa Amiata Energia contratto a forfait residente</t>
  </si>
  <si>
    <t xml:space="preserve">costo annuo a carico utente forfait residente </t>
  </si>
  <si>
    <t>prezzo medio di acquisto</t>
  </si>
  <si>
    <t>MWh</t>
  </si>
  <si>
    <t>data riferimento</t>
  </si>
  <si>
    <t xml:space="preserve">Costo riscaldamento ed acqua calda per utenza tipo - volumetria riscaldata pari a 300 mc </t>
  </si>
  <si>
    <t>consumo forfettario addebitato per VPP = 300 mc</t>
  </si>
  <si>
    <t>Importo contrattuale SIVA</t>
  </si>
  <si>
    <t>IVA applicabile</t>
  </si>
  <si>
    <t>importo contrattuale lordo</t>
  </si>
  <si>
    <t>agevolazione fiscale - credito importo applicab.</t>
  </si>
  <si>
    <t>detrazione fiscale ottenibile</t>
  </si>
  <si>
    <t>PREZZI DI RIFERIMENTO ALLA DATA 1.7.2014 DELIBERATI DALL'AMMINISTRAZIONE COMUNALE DI SANTA FIORA (Delib. Cons. Com. del 30/6/2015)</t>
  </si>
  <si>
    <t>TARIFFA QUOTA VARIABILE CONTRATTO FULL</t>
  </si>
  <si>
    <t>TARIFFA QUOTA FISSA CONTRATTO FULL</t>
  </si>
  <si>
    <t>TARIFFA QUOTA VARIABILE CONTRATTO EASY</t>
  </si>
  <si>
    <t>TARIFFA QUOTA FISSA CONTRATTO EASY</t>
  </si>
  <si>
    <t>Euro/mc</t>
  </si>
  <si>
    <t>Agevolazione fiscale ex Legge n.448/98 (v.nota 1)</t>
  </si>
  <si>
    <t>Contributo allaccio ex Legge n.338/00 (v.nota 2)</t>
  </si>
  <si>
    <t>INDICE GENERALE PREZZI AL CONSUMO FAMIGLIE</t>
  </si>
  <si>
    <t>variaz.% su anno precedente</t>
  </si>
  <si>
    <t>riduzione accisa agevolata</t>
  </si>
  <si>
    <t>VECCHIO REGOLAMENTO</t>
  </si>
  <si>
    <t>NUOVO REGOLAMENTO</t>
  </si>
  <si>
    <t>consumo addebitato per VPP = 300 mc</t>
  </si>
  <si>
    <t>indice energetico applicato</t>
  </si>
  <si>
    <t>Insieme di dati : Indice dei prezzi al consumo per le famiglie di operai e impiegati - dati mensili (FOI - sino al 2010)</t>
  </si>
  <si>
    <t>Mese</t>
  </si>
  <si>
    <t>Gen-2000</t>
  </si>
  <si>
    <t>Feb-2000</t>
  </si>
  <si>
    <t>Mar-2000</t>
  </si>
  <si>
    <t>Apr-2000</t>
  </si>
  <si>
    <t>Mag-2000</t>
  </si>
  <si>
    <t>Giu-2000</t>
  </si>
  <si>
    <t>Lug-2000</t>
  </si>
  <si>
    <t>Ago-2000</t>
  </si>
  <si>
    <t>Set-2000</t>
  </si>
  <si>
    <t>Ott-2000</t>
  </si>
  <si>
    <t>Nov-2000</t>
  </si>
  <si>
    <t>Dic-2000</t>
  </si>
  <si>
    <t>00: indice generale</t>
  </si>
  <si>
    <t>Gen-2001</t>
  </si>
  <si>
    <t>Feb-2001</t>
  </si>
  <si>
    <t>Mar-2001</t>
  </si>
  <si>
    <t>Apr-2001</t>
  </si>
  <si>
    <t>Mag-2001</t>
  </si>
  <si>
    <t>Giu-2001</t>
  </si>
  <si>
    <t>Lug-2001</t>
  </si>
  <si>
    <t>Ago-2001</t>
  </si>
  <si>
    <t>Set-2001</t>
  </si>
  <si>
    <t>Ott-2001</t>
  </si>
  <si>
    <t>Nov-2001</t>
  </si>
  <si>
    <t>Dic-2001</t>
  </si>
  <si>
    <t>Gen-2002</t>
  </si>
  <si>
    <t>Feb-2002</t>
  </si>
  <si>
    <t>Mar-2002</t>
  </si>
  <si>
    <t>Apr-2002</t>
  </si>
  <si>
    <t>Mag-2002</t>
  </si>
  <si>
    <t>Giu-2002</t>
  </si>
  <si>
    <t>Lug-2002</t>
  </si>
  <si>
    <t>Ago-2002</t>
  </si>
  <si>
    <t>Set-2002</t>
  </si>
  <si>
    <t>Ott-2002</t>
  </si>
  <si>
    <t>Nov-2002</t>
  </si>
  <si>
    <t>Dic-2002</t>
  </si>
  <si>
    <t>Gen-2003</t>
  </si>
  <si>
    <t>Feb-2003</t>
  </si>
  <si>
    <t>Mar-2003</t>
  </si>
  <si>
    <t>Apr-2003</t>
  </si>
  <si>
    <t>Mag-2003</t>
  </si>
  <si>
    <t>Giu-2003</t>
  </si>
  <si>
    <t>Lug-2003</t>
  </si>
  <si>
    <t>Ago-2003</t>
  </si>
  <si>
    <t>Set-2003</t>
  </si>
  <si>
    <t>Ott-2003</t>
  </si>
  <si>
    <t>Nov-2003</t>
  </si>
  <si>
    <t>Dic-2003</t>
  </si>
  <si>
    <t>Gen-2004</t>
  </si>
  <si>
    <t>Feb-2004</t>
  </si>
  <si>
    <t>Mar-2004</t>
  </si>
  <si>
    <t>Apr-2004</t>
  </si>
  <si>
    <t>Mag-2004</t>
  </si>
  <si>
    <t>Giu-2004</t>
  </si>
  <si>
    <t>Lug-2004</t>
  </si>
  <si>
    <t>Ago-2004</t>
  </si>
  <si>
    <t>Set-2004</t>
  </si>
  <si>
    <t>Ott-2004</t>
  </si>
  <si>
    <t>Nov-2004</t>
  </si>
  <si>
    <t>Dic-2004</t>
  </si>
  <si>
    <t>Gen-2005</t>
  </si>
  <si>
    <t>Feb-2005</t>
  </si>
  <si>
    <t>Mar-2005</t>
  </si>
  <si>
    <t>Apr-2005</t>
  </si>
  <si>
    <t>Mag-2005</t>
  </si>
  <si>
    <t>Giu-2005</t>
  </si>
  <si>
    <t>Lug-2005</t>
  </si>
  <si>
    <t>Ago-2005</t>
  </si>
  <si>
    <t>Set-2005</t>
  </si>
  <si>
    <t>Ott-2005</t>
  </si>
  <si>
    <t>Nov-2005</t>
  </si>
  <si>
    <t>Dic-2005</t>
  </si>
  <si>
    <t>Gen-2006</t>
  </si>
  <si>
    <t>Feb-2006</t>
  </si>
  <si>
    <t>Mar-2006</t>
  </si>
  <si>
    <t>Apr-2006</t>
  </si>
  <si>
    <t>Mag-2006</t>
  </si>
  <si>
    <t>Giu-2006</t>
  </si>
  <si>
    <t>Lug-2006</t>
  </si>
  <si>
    <t>Ago-2006</t>
  </si>
  <si>
    <t>Set-2006</t>
  </si>
  <si>
    <t>Ott-2006</t>
  </si>
  <si>
    <t>Nov-2006</t>
  </si>
  <si>
    <t>Dic-2006</t>
  </si>
  <si>
    <t>Gen-2007</t>
  </si>
  <si>
    <t>Feb-2007</t>
  </si>
  <si>
    <t>Mar-2007</t>
  </si>
  <si>
    <t>Apr-2007</t>
  </si>
  <si>
    <t>Mag-2007</t>
  </si>
  <si>
    <t>Giu-2007</t>
  </si>
  <si>
    <t>Lug-2007</t>
  </si>
  <si>
    <t>Ago-2007</t>
  </si>
  <si>
    <t>Set-2007</t>
  </si>
  <si>
    <t>Ott-2007</t>
  </si>
  <si>
    <t>Nov-2007</t>
  </si>
  <si>
    <t>Dic-2007</t>
  </si>
  <si>
    <t>Gen-2008</t>
  </si>
  <si>
    <t>Feb-2008</t>
  </si>
  <si>
    <t>Mar-2008</t>
  </si>
  <si>
    <t>Apr-2008</t>
  </si>
  <si>
    <t>Mag-2008</t>
  </si>
  <si>
    <t>Giu-2008</t>
  </si>
  <si>
    <t>Lug-2008</t>
  </si>
  <si>
    <t>Ago-2008</t>
  </si>
  <si>
    <t>Set-2008</t>
  </si>
  <si>
    <t>Ott-2008</t>
  </si>
  <si>
    <t>Nov-2008</t>
  </si>
  <si>
    <t>Dic-2008</t>
  </si>
  <si>
    <t>Gen-2009</t>
  </si>
  <si>
    <t>Feb-2009</t>
  </si>
  <si>
    <t>Mar-2009</t>
  </si>
  <si>
    <t>Apr-2009</t>
  </si>
  <si>
    <t>Mag-2009</t>
  </si>
  <si>
    <t>Giu-2009</t>
  </si>
  <si>
    <t>Lug-2009</t>
  </si>
  <si>
    <t>Ago-2009</t>
  </si>
  <si>
    <t>Set-2009</t>
  </si>
  <si>
    <t>Ott-2009</t>
  </si>
  <si>
    <t>Nov-2009</t>
  </si>
  <si>
    <t>Dic-2009</t>
  </si>
  <si>
    <t>Gen-2010</t>
  </si>
  <si>
    <t>Feb-2010</t>
  </si>
  <si>
    <t>Mar-2010</t>
  </si>
  <si>
    <t>Apr-2010</t>
  </si>
  <si>
    <t>Mag-2010</t>
  </si>
  <si>
    <t>Giu-2010</t>
  </si>
  <si>
    <t>Lug-2010</t>
  </si>
  <si>
    <t>Ago-2010</t>
  </si>
  <si>
    <t>Set-2010</t>
  </si>
  <si>
    <t>Ott-2010</t>
  </si>
  <si>
    <t>Nov-2010</t>
  </si>
  <si>
    <t>Dic-2010</t>
  </si>
  <si>
    <t>FATTORE DI CONVERSIONE STORICO = 1,373</t>
  </si>
  <si>
    <t>Gen-2011</t>
  </si>
  <si>
    <t>Feb-2011</t>
  </si>
  <si>
    <t>Mar-2011</t>
  </si>
  <si>
    <t>Apr-2011</t>
  </si>
  <si>
    <t>Mag-2011</t>
  </si>
  <si>
    <t>Giu-2011</t>
  </si>
  <si>
    <t>Lug-2011</t>
  </si>
  <si>
    <t>Ago-2011</t>
  </si>
  <si>
    <t>Set-2011</t>
  </si>
  <si>
    <t>Ott-2011</t>
  </si>
  <si>
    <t>Nov-2011</t>
  </si>
  <si>
    <t>Dic-2011</t>
  </si>
  <si>
    <t xml:space="preserve">00ST: indice generale </t>
  </si>
  <si>
    <t>CONVERTITO base 1995</t>
  </si>
  <si>
    <t>FATTORE DI CONVERSIONE 2010 = 1,071</t>
  </si>
  <si>
    <t>CONVERTITO base 2010</t>
  </si>
  <si>
    <t>Insieme di dati : Indice dei prezzi al consumo per le famiglie di operai e impiegati  -  dati mensili (FOI - dal 2011 al 2015)</t>
  </si>
  <si>
    <t>Insieme di dati : Indice dei prezzi al consumo per le famiglie di operai e impiegati  -  dati mensili (FOI - dal 2016)</t>
  </si>
  <si>
    <t>FATTORE DI CONVERSIONE STORICO = 1,373x1,071</t>
  </si>
  <si>
    <t>A</t>
  </si>
  <si>
    <t>rif.</t>
  </si>
  <si>
    <t>www.assistal.it</t>
  </si>
  <si>
    <t>login</t>
  </si>
  <si>
    <t>psw</t>
  </si>
  <si>
    <t>assi0448</t>
  </si>
  <si>
    <t>impi1298</t>
  </si>
  <si>
    <t>costo operaio 4.liv</t>
  </si>
  <si>
    <t xml:space="preserve">valori validi dal </t>
  </si>
  <si>
    <t>efficienza media produzione impianto gasolio</t>
  </si>
  <si>
    <t>%</t>
  </si>
  <si>
    <t>potere calorifero inferiore</t>
  </si>
  <si>
    <t>incidenza costo parte combustibile</t>
  </si>
  <si>
    <t>INDICE  DI RIPARTIZIONE CONSUMO ENERGETICO</t>
  </si>
  <si>
    <t xml:space="preserve">ESEMPIO DI COSTI CONTRATTUALI PER ABITAZIONE USO CONTINUO RESIDENZIALE </t>
  </si>
  <si>
    <t xml:space="preserve">ANALISI DI RAFFRONTO COSTI CON IPOTESI IMPIANTO RISCALDAMENTO FUNZIONANTE A GASOLIO </t>
  </si>
  <si>
    <t>°C/anno</t>
  </si>
  <si>
    <t>n.d.</t>
  </si>
  <si>
    <t xml:space="preserve">costo medio nazionale. gasolio riscaldamento c.iva </t>
  </si>
  <si>
    <t>Valutazione risparmio ambientale - Minori emissioni di CO2 nell'atmosfera</t>
  </si>
  <si>
    <t>valore economico emissione inquinanti</t>
  </si>
  <si>
    <t>Euro/tonn</t>
  </si>
  <si>
    <t>Risparmio ambientale</t>
  </si>
  <si>
    <t>data var.</t>
  </si>
  <si>
    <t>valore</t>
  </si>
  <si>
    <t>n.d</t>
  </si>
  <si>
    <t>Fonte - European Emissione Allowances (EUA)</t>
  </si>
  <si>
    <t>Minor costo a carico dell'utente in caso di cambio da vecchio a nuovo regolamento</t>
  </si>
  <si>
    <t>Maggior ricavo a favore della società in caso di cambio da vecchio a nuovo regolamento</t>
  </si>
  <si>
    <t>Quantità di gasolio non consumato (evitato) - tonn.</t>
  </si>
  <si>
    <t>fattore di emissione  (tCO2/tonn di gasolio)</t>
  </si>
  <si>
    <t xml:space="preserve">Coefficiente di ossidazione </t>
  </si>
  <si>
    <t>Potere calorifico inferiore  (kWh/kg)</t>
  </si>
  <si>
    <t>Emissione di CO2 evitate - tonn</t>
  </si>
  <si>
    <t>prezzo CEC per impianto ante 1997</t>
  </si>
  <si>
    <t>Valore Acconto fonte  CCSE</t>
  </si>
  <si>
    <t>Valore conguaglio fonte CCSE</t>
  </si>
  <si>
    <t>Valore conguaglio fonte GSE</t>
  </si>
  <si>
    <t>Valore Acconto
1.trim.
 fonte  GSE</t>
  </si>
  <si>
    <t>Valore Acconto
2.trim.
 fonte  GSE</t>
  </si>
  <si>
    <t>Valore Acconto
3.trim.
 fonte  GSE</t>
  </si>
  <si>
    <t>Valore Acconto
4.trim.
 fonte  GSE</t>
  </si>
  <si>
    <t>prezzo CEC per impianto entrato in funzione ante 1997 (non termovalorizzatori)</t>
  </si>
  <si>
    <t>Valore utilizzato da Amiata Energia</t>
  </si>
  <si>
    <t>variaz.% su valore riferrimento base</t>
  </si>
  <si>
    <t>Euro</t>
  </si>
  <si>
    <t>tariffa Amiata Energia contratto FULL quota variabile</t>
  </si>
  <si>
    <t>tariffa Amiata Energia contratto FULL quota fissa</t>
  </si>
  <si>
    <t>fattore consumo volumetrico (solo consumo diretto)</t>
  </si>
  <si>
    <t>consumo addebitato per VPP = 300 mc (cons. dir. + ind.)</t>
  </si>
  <si>
    <t>volumetria di riferimento -  mc</t>
  </si>
  <si>
    <t>Minor costo a carico dell'utente in caso di cambio da impianto a gasolio a teleriscaldamento</t>
  </si>
  <si>
    <t>Gradi giorno periodo invernale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</si>
  <si>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</si>
  <si>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</si>
  <si>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</si>
  <si>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</si>
  <si>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</si>
  <si>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</si>
  <si>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</si>
  <si>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</si>
  <si>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</si>
  <si>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</si>
  <si>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</si>
  <si>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</si>
  <si>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 Mmax </t>
  </si>
  <si>
    <t> Mmin </t>
  </si>
  <si>
    <t> Mmed </t>
  </si>
  <si>
    <t>Mmax </t>
  </si>
  <si>
    <t>riferimento dati</t>
  </si>
  <si>
    <t>https://www.sir.toscana.it/</t>
  </si>
  <si>
    <t>giorni</t>
  </si>
  <si>
    <t>GG</t>
  </si>
  <si>
    <t xml:space="preserve">anno </t>
  </si>
  <si>
    <t>stag.1</t>
  </si>
  <si>
    <t>stag.2</t>
  </si>
  <si>
    <t>stag.tot</t>
  </si>
  <si>
    <t>consumo teorico per riscald + acqua calda (MWh/anno)</t>
  </si>
  <si>
    <t>Gradi giorno D.Lgs 412/93</t>
  </si>
  <si>
    <t>http://dati.istat.it/Index.aspx?DataSetCode=DCSP_FOI1B2015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</si>
</sst>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0000"/>
    <numFmt numFmtId="165" formatCode="#,##0.0000"/>
    <numFmt numFmtId="166" formatCode="#,##0;[Blue]\-#,##0"/>
    <numFmt numFmtId="167" formatCode="dd/mm/yy;@"/>
    <numFmt numFmtId="168" formatCode="#,##0.000"/>
    <numFmt numFmtId="169" formatCode="0.000000"/>
    <numFmt numFmtId="170" formatCode="0.0"/>
    <numFmt numFmtId="171" formatCode="0.0%"/>
    <numFmt numFmtId="172" formatCode="0.000"/>
  </numFmts>
  <fonts count="66" x14ac:knownFonts="1">
    <font>
      <sz val="10"/>
      <name val="Arial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 Narrow"/>
      <family val="2"/>
    </font>
    <font>
      <b/>
      <sz val="12"/>
      <name val="Arial Narrow"/>
      <family val="2"/>
    </font>
    <font>
      <sz val="10"/>
      <color indexed="10"/>
      <name val="Arial"/>
      <family val="2"/>
    </font>
    <font>
      <b/>
      <sz val="11"/>
      <color indexed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color indexed="10"/>
      <name val="Arial Narrow"/>
      <family val="2"/>
    </font>
    <font>
      <sz val="11"/>
      <name val="Arial Narrow"/>
      <family val="2"/>
    </font>
    <font>
      <sz val="11"/>
      <color indexed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8"/>
      <color indexed="56"/>
      <name val="Verdana"/>
      <family val="2"/>
    </font>
    <font>
      <sz val="8"/>
      <color indexed="56"/>
      <name val="Verdana"/>
      <family val="2"/>
    </font>
    <font>
      <sz val="8"/>
      <color indexed="60"/>
      <name val="Verdana"/>
      <family val="2"/>
    </font>
    <font>
      <u/>
      <sz val="8"/>
      <name val="Verdana"/>
      <family val="2"/>
    </font>
    <font>
      <sz val="8"/>
      <color indexed="9"/>
      <name val="Verdana"/>
      <family val="2"/>
    </font>
    <font>
      <b/>
      <sz val="9"/>
      <color indexed="18"/>
      <name val="Verdana"/>
      <family val="2"/>
    </font>
    <font>
      <u/>
      <sz val="10"/>
      <color theme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Comic Sans MS"/>
      <family val="4"/>
    </font>
    <font>
      <sz val="10"/>
      <color indexed="8"/>
      <name val="Comic Sans MS"/>
      <family val="4"/>
    </font>
    <font>
      <b/>
      <sz val="10"/>
      <name val="Comic Sans MS"/>
      <family val="4"/>
    </font>
    <font>
      <b/>
      <sz val="10"/>
      <color indexed="8"/>
      <name val="Comic Sans MS"/>
      <family val="4"/>
    </font>
    <font>
      <b/>
      <i/>
      <sz val="10"/>
      <name val="Comic Sans MS"/>
      <family val="4"/>
    </font>
    <font>
      <sz val="10"/>
      <color indexed="12"/>
      <name val="Comic Sans MS"/>
      <family val="4"/>
    </font>
    <font>
      <b/>
      <sz val="10"/>
      <color rgb="FF000000"/>
      <name val="Trebuchet MS"/>
      <family val="2"/>
    </font>
    <font>
      <sz val="11"/>
      <color rgb="FFFFFFFF"/>
      <name val="Trebuchet MS"/>
      <family val="2"/>
    </font>
    <font>
      <sz val="8"/>
      <color rgb="FF000000"/>
      <name val="Trebuchet MS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b/>
      <sz val="8"/>
      <color rgb="FFFFFFFF"/>
      <name val="Arial"/>
      <family val="2"/>
    </font>
    <font>
      <sz val="8"/>
      <color rgb="FF666666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47"/>
      </patternFill>
    </fill>
    <fill>
      <patternFill patternType="solid">
        <fgColor indexed="15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47"/>
      </patternFill>
    </fill>
    <fill>
      <patternFill patternType="solid">
        <fgColor rgb="FFFFC000"/>
        <bgColor indexed="47"/>
      </patternFill>
    </fill>
    <fill>
      <patternFill patternType="solid">
        <fgColor theme="9" tint="0.59999389629810485"/>
        <bgColor indexed="47"/>
      </patternFill>
    </fill>
    <fill>
      <patternFill patternType="solid">
        <fgColor rgb="FF00B050"/>
        <bgColor indexed="47"/>
      </patternFill>
    </fill>
    <fill>
      <patternFill patternType="solid">
        <fgColor rgb="FF00B0F0"/>
        <bgColor indexed="4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EEEEEE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0" borderId="2" applyNumberFormat="0" applyFill="0" applyAlignment="0" applyProtection="0"/>
    <xf numFmtId="0" fontId="21" fillId="17" borderId="3" applyNumberFormat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2" fillId="7" borderId="1" applyNumberFormat="0" applyAlignment="0" applyProtection="0"/>
    <xf numFmtId="0" fontId="23" fillId="22" borderId="0" applyNumberFormat="0" applyBorder="0" applyAlignment="0" applyProtection="0"/>
    <xf numFmtId="0" fontId="1" fillId="0" borderId="0"/>
    <xf numFmtId="0" fontId="17" fillId="0" borderId="0"/>
    <xf numFmtId="0" fontId="17" fillId="23" borderId="4" applyNumberFormat="0" applyFont="0" applyAlignment="0" applyProtection="0"/>
    <xf numFmtId="0" fontId="24" fillId="1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10" fillId="0" borderId="0"/>
    <xf numFmtId="0" fontId="47" fillId="0" borderId="0" applyNumberFormat="0" applyFill="0" applyBorder="0" applyAlignment="0" applyProtection="0">
      <alignment vertical="top"/>
      <protection locked="0"/>
    </xf>
    <xf numFmtId="43" fontId="62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 applyAlignment="1">
      <alignment horizontal="center"/>
    </xf>
    <xf numFmtId="0" fontId="1" fillId="0" borderId="0" xfId="30"/>
    <xf numFmtId="0" fontId="17" fillId="0" borderId="0" xfId="31"/>
    <xf numFmtId="0" fontId="4" fillId="0" borderId="10" xfId="30" applyFont="1" applyBorder="1" applyAlignment="1">
      <alignment horizontal="center"/>
    </xf>
    <xf numFmtId="0" fontId="4" fillId="0" borderId="11" xfId="30" applyFont="1" applyBorder="1" applyAlignment="1">
      <alignment horizontal="center"/>
    </xf>
    <xf numFmtId="0" fontId="1" fillId="0" borderId="0" xfId="30" applyBorder="1"/>
    <xf numFmtId="0" fontId="1" fillId="0" borderId="14" xfId="30" applyBorder="1"/>
    <xf numFmtId="0" fontId="3" fillId="0" borderId="0" xfId="30" applyFont="1" applyBorder="1"/>
    <xf numFmtId="10" fontId="3" fillId="0" borderId="14" xfId="30" applyNumberFormat="1" applyFont="1" applyBorder="1"/>
    <xf numFmtId="0" fontId="10" fillId="0" borderId="0" xfId="30" applyFont="1" applyBorder="1"/>
    <xf numFmtId="10" fontId="1" fillId="0" borderId="14" xfId="30" applyNumberFormat="1" applyBorder="1"/>
    <xf numFmtId="0" fontId="1" fillId="0" borderId="17" xfId="30" applyBorder="1"/>
    <xf numFmtId="10" fontId="1" fillId="0" borderId="18" xfId="30" applyNumberFormat="1" applyBorder="1"/>
    <xf numFmtId="0" fontId="10" fillId="0" borderId="21" xfId="30" applyFont="1" applyFill="1" applyBorder="1" applyAlignment="1">
      <alignment horizontal="right"/>
    </xf>
    <xf numFmtId="0" fontId="3" fillId="0" borderId="21" xfId="30" applyFont="1" applyFill="1" applyBorder="1" applyAlignment="1">
      <alignment horizontal="center"/>
    </xf>
    <xf numFmtId="0" fontId="15" fillId="0" borderId="13" xfId="30" applyFont="1" applyFill="1" applyBorder="1"/>
    <xf numFmtId="2" fontId="16" fillId="24" borderId="21" xfId="30" applyNumberFormat="1" applyFont="1" applyFill="1" applyBorder="1" applyAlignment="1">
      <alignment horizontal="center"/>
    </xf>
    <xf numFmtId="0" fontId="3" fillId="0" borderId="21" xfId="30" applyFont="1" applyFill="1" applyBorder="1" applyAlignment="1">
      <alignment horizontal="right"/>
    </xf>
    <xf numFmtId="0" fontId="3" fillId="0" borderId="21" xfId="30" applyFont="1" applyFill="1" applyBorder="1" applyAlignment="1">
      <alignment horizontal="left"/>
    </xf>
    <xf numFmtId="2" fontId="4" fillId="0" borderId="21" xfId="30" applyNumberFormat="1" applyFont="1" applyFill="1" applyBorder="1" applyAlignment="1">
      <alignment horizontal="center"/>
    </xf>
    <xf numFmtId="14" fontId="5" fillId="24" borderId="12" xfId="30" applyNumberFormat="1" applyFont="1" applyFill="1" applyBorder="1" applyAlignment="1">
      <alignment horizontal="center"/>
    </xf>
    <xf numFmtId="0" fontId="7" fillId="26" borderId="15" xfId="30" applyFont="1" applyFill="1" applyBorder="1"/>
    <xf numFmtId="4" fontId="8" fillId="26" borderId="16" xfId="30" applyNumberFormat="1" applyFont="1" applyFill="1" applyBorder="1" applyAlignment="1" applyProtection="1">
      <alignment horizontal="center"/>
    </xf>
    <xf numFmtId="4" fontId="8" fillId="26" borderId="16" xfId="30" applyNumberFormat="1" applyFont="1" applyFill="1" applyBorder="1" applyAlignment="1">
      <alignment horizontal="center"/>
    </xf>
    <xf numFmtId="4" fontId="11" fillId="26" borderId="16" xfId="30" applyNumberFormat="1" applyFont="1" applyFill="1" applyBorder="1" applyAlignment="1">
      <alignment horizontal="center"/>
    </xf>
    <xf numFmtId="3" fontId="13" fillId="26" borderId="19" xfId="30" applyNumberFormat="1" applyFont="1" applyFill="1" applyBorder="1" applyAlignment="1">
      <alignment horizontal="center"/>
    </xf>
    <xf numFmtId="165" fontId="2" fillId="24" borderId="20" xfId="30" applyNumberFormat="1" applyFont="1" applyFill="1" applyBorder="1" applyAlignment="1">
      <alignment horizontal="center"/>
    </xf>
    <xf numFmtId="0" fontId="17" fillId="0" borderId="0" xfId="31" applyFill="1"/>
    <xf numFmtId="0" fontId="17" fillId="0" borderId="23" xfId="31" applyBorder="1"/>
    <xf numFmtId="0" fontId="17" fillId="0" borderId="24" xfId="31" applyBorder="1"/>
    <xf numFmtId="0" fontId="17" fillId="0" borderId="25" xfId="31" applyBorder="1"/>
    <xf numFmtId="0" fontId="1" fillId="0" borderId="26" xfId="30" applyFill="1" applyBorder="1"/>
    <xf numFmtId="0" fontId="1" fillId="0" borderId="0" xfId="30" applyFill="1" applyBorder="1"/>
    <xf numFmtId="0" fontId="1" fillId="0" borderId="27" xfId="30" applyFill="1" applyBorder="1"/>
    <xf numFmtId="0" fontId="1" fillId="24" borderId="26" xfId="30" applyFill="1" applyBorder="1"/>
    <xf numFmtId="0" fontId="3" fillId="24" borderId="0" xfId="30" applyFont="1" applyFill="1" applyBorder="1"/>
    <xf numFmtId="0" fontId="1" fillId="24" borderId="0" xfId="30" applyFill="1" applyBorder="1"/>
    <xf numFmtId="0" fontId="1" fillId="24" borderId="27" xfId="30" applyFill="1" applyBorder="1"/>
    <xf numFmtId="0" fontId="1" fillId="0" borderId="26" xfId="30" applyBorder="1"/>
    <xf numFmtId="0" fontId="1" fillId="0" borderId="27" xfId="30" applyBorder="1"/>
    <xf numFmtId="0" fontId="4" fillId="0" borderId="28" xfId="30" applyFont="1" applyBorder="1" applyAlignment="1">
      <alignment horizontal="center"/>
    </xf>
    <xf numFmtId="0" fontId="4" fillId="0" borderId="0" xfId="30" applyFont="1" applyBorder="1" applyAlignment="1">
      <alignment horizontal="center"/>
    </xf>
    <xf numFmtId="0" fontId="3" fillId="0" borderId="26" xfId="30" applyFont="1" applyBorder="1"/>
    <xf numFmtId="0" fontId="1" fillId="0" borderId="29" xfId="30" applyBorder="1"/>
    <xf numFmtId="0" fontId="1" fillId="0" borderId="0" xfId="30" applyFill="1" applyBorder="1" applyAlignment="1">
      <alignment horizontal="center"/>
    </xf>
    <xf numFmtId="0" fontId="15" fillId="0" borderId="26" xfId="30" applyFont="1" applyBorder="1"/>
    <xf numFmtId="0" fontId="1" fillId="0" borderId="0" xfId="30" applyBorder="1" applyAlignment="1">
      <alignment horizontal="center"/>
    </xf>
    <xf numFmtId="0" fontId="10" fillId="0" borderId="0" xfId="30" applyFont="1" applyBorder="1" applyAlignment="1">
      <alignment horizontal="center"/>
    </xf>
    <xf numFmtId="0" fontId="17" fillId="0" borderId="26" xfId="31" applyBorder="1"/>
    <xf numFmtId="0" fontId="17" fillId="0" borderId="0" xfId="31" applyBorder="1"/>
    <xf numFmtId="166" fontId="1" fillId="0" borderId="0" xfId="30" applyNumberFormat="1" applyBorder="1" applyAlignment="1">
      <alignment vertical="center" wrapText="1"/>
    </xf>
    <xf numFmtId="166" fontId="1" fillId="0" borderId="0" xfId="30" applyNumberFormat="1" applyBorder="1" applyAlignment="1">
      <alignment horizontal="center" vertical="center" wrapText="1"/>
    </xf>
    <xf numFmtId="0" fontId="4" fillId="0" borderId="0" xfId="30" applyFont="1" applyBorder="1"/>
    <xf numFmtId="0" fontId="17" fillId="0" borderId="30" xfId="31" applyBorder="1"/>
    <xf numFmtId="14" fontId="6" fillId="0" borderId="12" xfId="30" applyNumberFormat="1" applyFont="1" applyFill="1" applyBorder="1" applyAlignment="1">
      <alignment horizontal="center"/>
    </xf>
    <xf numFmtId="14" fontId="6" fillId="0" borderId="31" xfId="30" applyNumberFormat="1" applyFont="1" applyFill="1" applyBorder="1" applyAlignment="1">
      <alignment horizontal="center"/>
    </xf>
    <xf numFmtId="0" fontId="34" fillId="25" borderId="15" xfId="30" applyFont="1" applyFill="1" applyBorder="1"/>
    <xf numFmtId="0" fontId="34" fillId="25" borderId="32" xfId="30" applyFont="1" applyFill="1" applyBorder="1"/>
    <xf numFmtId="4" fontId="9" fillId="25" borderId="16" xfId="30" applyNumberFormat="1" applyFont="1" applyFill="1" applyBorder="1" applyAlignment="1" applyProtection="1">
      <alignment horizontal="center"/>
    </xf>
    <xf numFmtId="4" fontId="9" fillId="25" borderId="16" xfId="30" applyNumberFormat="1" applyFont="1" applyFill="1" applyBorder="1" applyAlignment="1">
      <alignment horizontal="center"/>
    </xf>
    <xf numFmtId="4" fontId="9" fillId="25" borderId="33" xfId="30" applyNumberFormat="1" applyFont="1" applyFill="1" applyBorder="1" applyAlignment="1">
      <alignment horizontal="center"/>
    </xf>
    <xf numFmtId="4" fontId="12" fillId="25" borderId="16" xfId="30" applyNumberFormat="1" applyFont="1" applyFill="1" applyBorder="1" applyAlignment="1">
      <alignment horizontal="center"/>
    </xf>
    <xf numFmtId="4" fontId="12" fillId="25" borderId="33" xfId="30" applyNumberFormat="1" applyFont="1" applyFill="1" applyBorder="1" applyAlignment="1">
      <alignment horizontal="center"/>
    </xf>
    <xf numFmtId="3" fontId="14" fillId="25" borderId="19" xfId="30" applyNumberFormat="1" applyFont="1" applyFill="1" applyBorder="1" applyAlignment="1">
      <alignment horizontal="center"/>
    </xf>
    <xf numFmtId="3" fontId="14" fillId="25" borderId="34" xfId="30" applyNumberFormat="1" applyFont="1" applyFill="1" applyBorder="1" applyAlignment="1">
      <alignment horizontal="center"/>
    </xf>
    <xf numFmtId="2" fontId="4" fillId="0" borderId="31" xfId="30" applyNumberFormat="1" applyFont="1" applyFill="1" applyBorder="1" applyAlignment="1">
      <alignment horizontal="center"/>
    </xf>
    <xf numFmtId="0" fontId="35" fillId="0" borderId="0" xfId="31" applyFont="1" applyBorder="1"/>
    <xf numFmtId="0" fontId="35" fillId="0" borderId="27" xfId="31" applyFont="1" applyBorder="1"/>
    <xf numFmtId="0" fontId="36" fillId="0" borderId="0" xfId="30" applyFont="1" applyBorder="1"/>
    <xf numFmtId="0" fontId="36" fillId="0" borderId="27" xfId="30" applyFont="1" applyBorder="1"/>
    <xf numFmtId="2" fontId="4" fillId="0" borderId="21" xfId="30" applyNumberFormat="1" applyFont="1" applyFill="1" applyBorder="1" applyAlignment="1" applyProtection="1">
      <alignment horizontal="center"/>
    </xf>
    <xf numFmtId="2" fontId="4" fillId="0" borderId="31" xfId="30" applyNumberFormat="1" applyFont="1" applyFill="1" applyBorder="1" applyAlignment="1" applyProtection="1">
      <alignment horizontal="center"/>
    </xf>
    <xf numFmtId="0" fontId="3" fillId="0" borderId="0" xfId="30" applyFont="1" applyBorder="1" applyAlignment="1" applyProtection="1">
      <alignment vertical="top" wrapText="1"/>
      <protection hidden="1"/>
    </xf>
    <xf numFmtId="0" fontId="3" fillId="0" borderId="27" xfId="30" applyFont="1" applyBorder="1" applyAlignment="1" applyProtection="1">
      <alignment vertical="top" wrapText="1"/>
      <protection hidden="1"/>
    </xf>
    <xf numFmtId="0" fontId="3" fillId="0" borderId="35" xfId="30" applyFont="1" applyBorder="1" applyAlignment="1" applyProtection="1">
      <alignment vertical="top" wrapText="1"/>
      <protection hidden="1"/>
    </xf>
    <xf numFmtId="0" fontId="3" fillId="0" borderId="36" xfId="30" applyFont="1" applyBorder="1" applyAlignment="1" applyProtection="1">
      <alignment vertical="top" wrapText="1"/>
      <protection hidden="1"/>
    </xf>
    <xf numFmtId="0" fontId="3" fillId="0" borderId="0" xfId="30" applyFont="1" applyBorder="1" applyAlignment="1" applyProtection="1">
      <alignment horizontal="left" vertical="top"/>
      <protection hidden="1"/>
    </xf>
    <xf numFmtId="0" fontId="3" fillId="0" borderId="35" xfId="30" applyFont="1" applyBorder="1" applyAlignment="1" applyProtection="1">
      <alignment vertical="top"/>
      <protection hidden="1"/>
    </xf>
    <xf numFmtId="0" fontId="10" fillId="0" borderId="0" xfId="30" applyFont="1" applyFill="1" applyBorder="1" applyAlignment="1">
      <alignment horizontal="center"/>
    </xf>
    <xf numFmtId="0" fontId="3" fillId="0" borderId="0" xfId="30" applyFont="1" applyBorder="1" applyAlignment="1">
      <alignment horizontal="center"/>
    </xf>
    <xf numFmtId="14" fontId="0" fillId="0" borderId="0" xfId="0" applyNumberFormat="1"/>
    <xf numFmtId="4" fontId="8" fillId="0" borderId="16" xfId="30" applyNumberFormat="1" applyFont="1" applyFill="1" applyBorder="1" applyAlignment="1" applyProtection="1">
      <alignment horizontal="center"/>
    </xf>
    <xf numFmtId="0" fontId="0" fillId="27" borderId="0" xfId="0" applyFill="1"/>
    <xf numFmtId="0" fontId="10" fillId="0" borderId="20" xfId="30" applyFont="1" applyBorder="1" applyAlignment="1">
      <alignment horizontal="center" wrapText="1"/>
    </xf>
    <xf numFmtId="4" fontId="9" fillId="0" borderId="33" xfId="30" applyNumberFormat="1" applyFont="1" applyFill="1" applyBorder="1" applyAlignment="1">
      <alignment horizontal="center"/>
    </xf>
    <xf numFmtId="10" fontId="37" fillId="0" borderId="0" xfId="34" applyNumberFormat="1" applyFont="1" applyBorder="1" applyAlignment="1">
      <alignment horizontal="right" vertical="top"/>
    </xf>
    <xf numFmtId="10" fontId="37" fillId="0" borderId="0" xfId="34" applyNumberFormat="1" applyFont="1" applyBorder="1" applyAlignment="1">
      <alignment horizontal="center" vertical="top"/>
    </xf>
    <xf numFmtId="168" fontId="2" fillId="24" borderId="20" xfId="30" applyNumberFormat="1" applyFont="1" applyFill="1" applyBorder="1" applyAlignment="1">
      <alignment horizontal="center"/>
    </xf>
    <xf numFmtId="0" fontId="38" fillId="0" borderId="0" xfId="30" applyFont="1" applyFill="1" applyBorder="1"/>
    <xf numFmtId="0" fontId="38" fillId="0" borderId="0" xfId="30" applyFont="1" applyFill="1" applyBorder="1" applyAlignment="1">
      <alignment horizontal="right"/>
    </xf>
    <xf numFmtId="0" fontId="10" fillId="0" borderId="0" xfId="46"/>
    <xf numFmtId="0" fontId="42" fillId="29" borderId="46" xfId="46" applyFont="1" applyFill="1" applyBorder="1" applyAlignment="1">
      <alignment horizontal="center" vertical="top" wrapText="1"/>
    </xf>
    <xf numFmtId="0" fontId="43" fillId="30" borderId="46" xfId="46" applyFont="1" applyFill="1" applyBorder="1" applyAlignment="1">
      <alignment vertical="top" wrapText="1"/>
    </xf>
    <xf numFmtId="0" fontId="44" fillId="0" borderId="0" xfId="46" applyFont="1" applyAlignment="1">
      <alignment horizontal="left"/>
    </xf>
    <xf numFmtId="0" fontId="45" fillId="31" borderId="0" xfId="46" applyFont="1" applyFill="1" applyBorder="1" applyAlignment="1">
      <alignment vertical="top" wrapText="1"/>
    </xf>
    <xf numFmtId="0" fontId="45" fillId="31" borderId="46" xfId="46" applyFont="1" applyFill="1" applyBorder="1" applyAlignment="1">
      <alignment vertical="top" wrapText="1"/>
    </xf>
    <xf numFmtId="17" fontId="42" fillId="29" borderId="46" xfId="46" applyNumberFormat="1" applyFont="1" applyFill="1" applyBorder="1" applyAlignment="1">
      <alignment horizontal="center" vertical="top" wrapText="1"/>
    </xf>
    <xf numFmtId="0" fontId="45" fillId="32" borderId="0" xfId="46" applyFont="1" applyFill="1" applyBorder="1" applyAlignment="1">
      <alignment vertical="top" wrapText="1"/>
    </xf>
    <xf numFmtId="0" fontId="45" fillId="32" borderId="46" xfId="46" applyFont="1" applyFill="1" applyBorder="1" applyAlignment="1">
      <alignment vertical="top" wrapText="1"/>
    </xf>
    <xf numFmtId="0" fontId="39" fillId="0" borderId="0" xfId="46" applyNumberFormat="1" applyFont="1" applyBorder="1" applyAlignment="1">
      <alignment horizontal="right"/>
    </xf>
    <xf numFmtId="0" fontId="40" fillId="0" borderId="0" xfId="46" applyFont="1" applyBorder="1" applyAlignment="1">
      <alignment horizontal="left"/>
    </xf>
    <xf numFmtId="0" fontId="39" fillId="0" borderId="50" xfId="46" applyFont="1" applyBorder="1"/>
    <xf numFmtId="0" fontId="40" fillId="0" borderId="51" xfId="46" applyFont="1" applyBorder="1" applyAlignment="1">
      <alignment horizontal="left"/>
    </xf>
    <xf numFmtId="170" fontId="39" fillId="0" borderId="46" xfId="46" applyNumberFormat="1" applyFont="1" applyBorder="1" applyAlignment="1">
      <alignment horizontal="right"/>
    </xf>
    <xf numFmtId="0" fontId="10" fillId="0" borderId="0" xfId="30" applyFont="1"/>
    <xf numFmtId="0" fontId="10" fillId="0" borderId="26" xfId="30" applyFont="1" applyFill="1" applyBorder="1"/>
    <xf numFmtId="0" fontId="10" fillId="0" borderId="0" xfId="30" applyFont="1" applyFill="1" applyBorder="1"/>
    <xf numFmtId="0" fontId="10" fillId="24" borderId="26" xfId="30" applyFont="1" applyFill="1" applyBorder="1"/>
    <xf numFmtId="0" fontId="10" fillId="24" borderId="0" xfId="30" applyFont="1" applyFill="1" applyBorder="1"/>
    <xf numFmtId="0" fontId="10" fillId="0" borderId="26" xfId="30" applyFont="1" applyBorder="1"/>
    <xf numFmtId="0" fontId="10" fillId="0" borderId="14" xfId="30" applyFont="1" applyBorder="1"/>
    <xf numFmtId="0" fontId="48" fillId="26" borderId="15" xfId="30" applyFont="1" applyFill="1" applyBorder="1"/>
    <xf numFmtId="0" fontId="10" fillId="25" borderId="15" xfId="30" applyFont="1" applyFill="1" applyBorder="1"/>
    <xf numFmtId="0" fontId="10" fillId="25" borderId="32" xfId="30" applyFont="1" applyFill="1" applyBorder="1"/>
    <xf numFmtId="0" fontId="10" fillId="0" borderId="29" xfId="30" applyFont="1" applyBorder="1"/>
    <xf numFmtId="0" fontId="10" fillId="0" borderId="17" xfId="30" applyFont="1" applyBorder="1"/>
    <xf numFmtId="10" fontId="10" fillId="0" borderId="18" xfId="30" applyNumberFormat="1" applyFont="1" applyBorder="1"/>
    <xf numFmtId="0" fontId="49" fillId="0" borderId="0" xfId="31" applyFont="1"/>
    <xf numFmtId="0" fontId="49" fillId="0" borderId="23" xfId="31" applyFont="1" applyBorder="1"/>
    <xf numFmtId="0" fontId="49" fillId="0" borderId="24" xfId="31" applyFont="1" applyBorder="1"/>
    <xf numFmtId="0" fontId="49" fillId="0" borderId="0" xfId="31" applyFont="1" applyFill="1"/>
    <xf numFmtId="0" fontId="3" fillId="0" borderId="28" xfId="30" applyFont="1" applyBorder="1" applyAlignment="1">
      <alignment horizontal="center"/>
    </xf>
    <xf numFmtId="0" fontId="3" fillId="0" borderId="10" xfId="30" applyFont="1" applyBorder="1" applyAlignment="1">
      <alignment horizontal="center"/>
    </xf>
    <xf numFmtId="0" fontId="3" fillId="0" borderId="11" xfId="30" applyFont="1" applyBorder="1" applyAlignment="1">
      <alignment horizontal="center"/>
    </xf>
    <xf numFmtId="14" fontId="2" fillId="24" borderId="12" xfId="30" applyNumberFormat="1" applyFont="1" applyFill="1" applyBorder="1" applyAlignment="1">
      <alignment horizontal="center"/>
    </xf>
    <xf numFmtId="14" fontId="3" fillId="0" borderId="12" xfId="30" applyNumberFormat="1" applyFont="1" applyFill="1" applyBorder="1" applyAlignment="1">
      <alignment horizontal="center"/>
    </xf>
    <xf numFmtId="14" fontId="3" fillId="0" borderId="31" xfId="30" applyNumberFormat="1" applyFont="1" applyFill="1" applyBorder="1" applyAlignment="1">
      <alignment horizontal="center"/>
    </xf>
    <xf numFmtId="4" fontId="2" fillId="26" borderId="16" xfId="30" applyNumberFormat="1" applyFont="1" applyFill="1" applyBorder="1" applyAlignment="1" applyProtection="1">
      <alignment horizontal="center"/>
    </xf>
    <xf numFmtId="4" fontId="3" fillId="25" borderId="16" xfId="30" applyNumberFormat="1" applyFont="1" applyFill="1" applyBorder="1" applyAlignment="1" applyProtection="1">
      <alignment horizontal="center"/>
    </xf>
    <xf numFmtId="4" fontId="2" fillId="26" borderId="16" xfId="30" applyNumberFormat="1" applyFont="1" applyFill="1" applyBorder="1" applyAlignment="1">
      <alignment horizontal="center"/>
    </xf>
    <xf numFmtId="4" fontId="3" fillId="25" borderId="16" xfId="30" applyNumberFormat="1" applyFont="1" applyFill="1" applyBorder="1" applyAlignment="1">
      <alignment horizontal="center"/>
    </xf>
    <xf numFmtId="3" fontId="48" fillId="26" borderId="19" xfId="30" applyNumberFormat="1" applyFont="1" applyFill="1" applyBorder="1" applyAlignment="1">
      <alignment horizontal="center"/>
    </xf>
    <xf numFmtId="3" fontId="10" fillId="25" borderId="19" xfId="30" applyNumberFormat="1" applyFont="1" applyFill="1" applyBorder="1" applyAlignment="1">
      <alignment horizontal="center"/>
    </xf>
    <xf numFmtId="0" fontId="10" fillId="0" borderId="13" xfId="30" applyFont="1" applyFill="1" applyBorder="1"/>
    <xf numFmtId="2" fontId="2" fillId="24" borderId="21" xfId="30" applyNumberFormat="1" applyFont="1" applyFill="1" applyBorder="1" applyAlignment="1">
      <alignment horizontal="center"/>
    </xf>
    <xf numFmtId="2" fontId="3" fillId="0" borderId="31" xfId="30" applyNumberFormat="1" applyFont="1" applyFill="1" applyBorder="1" applyAlignment="1">
      <alignment horizontal="center"/>
    </xf>
    <xf numFmtId="169" fontId="2" fillId="24" borderId="21" xfId="30" applyNumberFormat="1" applyFont="1" applyFill="1" applyBorder="1" applyAlignment="1">
      <alignment horizontal="center"/>
    </xf>
    <xf numFmtId="169" fontId="3" fillId="0" borderId="31" xfId="30" applyNumberFormat="1" applyFont="1" applyFill="1" applyBorder="1" applyAlignment="1">
      <alignment horizontal="center"/>
    </xf>
    <xf numFmtId="2" fontId="3" fillId="0" borderId="21" xfId="30" applyNumberFormat="1" applyFont="1" applyFill="1" applyBorder="1" applyAlignment="1" applyProtection="1">
      <alignment horizontal="center"/>
    </xf>
    <xf numFmtId="0" fontId="49" fillId="0" borderId="26" xfId="31" applyFont="1" applyBorder="1"/>
    <xf numFmtId="0" fontId="49" fillId="0" borderId="30" xfId="31" applyFont="1" applyBorder="1"/>
    <xf numFmtId="0" fontId="49" fillId="0" borderId="27" xfId="31" applyFont="1" applyBorder="1"/>
    <xf numFmtId="0" fontId="50" fillId="0" borderId="0" xfId="0" applyFont="1"/>
    <xf numFmtId="17" fontId="50" fillId="0" borderId="52" xfId="0" applyNumberFormat="1" applyFont="1" applyBorder="1" applyAlignment="1">
      <alignment horizontal="left"/>
    </xf>
    <xf numFmtId="0" fontId="51" fillId="0" borderId="0" xfId="47" applyFont="1" applyAlignment="1" applyProtection="1"/>
    <xf numFmtId="0" fontId="50" fillId="27" borderId="52" xfId="0" applyFont="1" applyFill="1" applyBorder="1"/>
    <xf numFmtId="2" fontId="50" fillId="27" borderId="52" xfId="0" applyNumberFormat="1" applyFont="1" applyFill="1" applyBorder="1"/>
    <xf numFmtId="0" fontId="1" fillId="0" borderId="0" xfId="30" applyFont="1" applyBorder="1" applyAlignment="1">
      <alignment horizontal="center"/>
    </xf>
    <xf numFmtId="0" fontId="1" fillId="0" borderId="20" xfId="30" applyFont="1" applyBorder="1" applyAlignment="1">
      <alignment horizontal="center" wrapText="1"/>
    </xf>
    <xf numFmtId="0" fontId="1" fillId="0" borderId="0" xfId="30" applyFont="1" applyBorder="1"/>
    <xf numFmtId="4" fontId="8" fillId="33" borderId="16" xfId="30" applyNumberFormat="1" applyFont="1" applyFill="1" applyBorder="1" applyAlignment="1" applyProtection="1">
      <alignment horizontal="center"/>
    </xf>
    <xf numFmtId="4" fontId="9" fillId="34" borderId="16" xfId="30" applyNumberFormat="1" applyFont="1" applyFill="1" applyBorder="1" applyAlignment="1" applyProtection="1">
      <alignment horizontal="center"/>
    </xf>
    <xf numFmtId="4" fontId="9" fillId="35" borderId="16" xfId="30" applyNumberFormat="1" applyFont="1" applyFill="1" applyBorder="1" applyAlignment="1" applyProtection="1">
      <alignment horizontal="center"/>
    </xf>
    <xf numFmtId="4" fontId="52" fillId="36" borderId="16" xfId="30" applyNumberFormat="1" applyFont="1" applyFill="1" applyBorder="1" applyAlignment="1" applyProtection="1">
      <alignment horizontal="center"/>
    </xf>
    <xf numFmtId="4" fontId="52" fillId="37" borderId="16" xfId="30" applyNumberFormat="1" applyFont="1" applyFill="1" applyBorder="1" applyAlignment="1" applyProtection="1">
      <alignment horizontal="center"/>
    </xf>
    <xf numFmtId="0" fontId="1" fillId="0" borderId="57" xfId="30" applyFill="1" applyBorder="1" applyAlignment="1">
      <alignment horizontal="center"/>
    </xf>
    <xf numFmtId="165" fontId="2" fillId="24" borderId="56" xfId="30" applyNumberFormat="1" applyFont="1" applyFill="1" applyBorder="1" applyAlignment="1">
      <alignment horizontal="center"/>
    </xf>
    <xf numFmtId="10" fontId="37" fillId="0" borderId="27" xfId="34" applyNumberFormat="1" applyFont="1" applyBorder="1" applyAlignment="1">
      <alignment horizontal="center" vertical="top"/>
    </xf>
    <xf numFmtId="0" fontId="53" fillId="0" borderId="0" xfId="0" applyFont="1"/>
    <xf numFmtId="0" fontId="54" fillId="0" borderId="38" xfId="31" applyFont="1" applyBorder="1"/>
    <xf numFmtId="0" fontId="53" fillId="0" borderId="39" xfId="0" applyFont="1" applyBorder="1"/>
    <xf numFmtId="0" fontId="53" fillId="27" borderId="39" xfId="0" applyFont="1" applyFill="1" applyBorder="1"/>
    <xf numFmtId="0" fontId="53" fillId="0" borderId="13" xfId="0" applyFont="1" applyBorder="1"/>
    <xf numFmtId="0" fontId="53" fillId="0" borderId="0" xfId="0" applyFont="1" applyBorder="1"/>
    <xf numFmtId="0" fontId="53" fillId="0" borderId="14" xfId="0" applyFont="1" applyBorder="1"/>
    <xf numFmtId="0" fontId="54" fillId="0" borderId="13" xfId="31" applyFont="1" applyBorder="1"/>
    <xf numFmtId="0" fontId="54" fillId="0" borderId="0" xfId="31" applyFont="1" applyBorder="1"/>
    <xf numFmtId="167" fontId="53" fillId="0" borderId="20" xfId="30" applyNumberFormat="1" applyFont="1" applyFill="1" applyBorder="1" applyAlignment="1">
      <alignment horizontal="center"/>
    </xf>
    <xf numFmtId="167" fontId="53" fillId="0" borderId="41" xfId="30" applyNumberFormat="1" applyFont="1" applyFill="1" applyBorder="1" applyAlignment="1">
      <alignment horizontal="center"/>
    </xf>
    <xf numFmtId="0" fontId="53" fillId="38" borderId="42" xfId="30" applyFont="1" applyFill="1" applyBorder="1" applyAlignment="1">
      <alignment horizontal="right"/>
    </xf>
    <xf numFmtId="0" fontId="53" fillId="38" borderId="20" xfId="30" applyFont="1" applyFill="1" applyBorder="1" applyAlignment="1">
      <alignment horizontal="center"/>
    </xf>
    <xf numFmtId="2" fontId="53" fillId="38" borderId="20" xfId="31" applyNumberFormat="1" applyFont="1" applyFill="1" applyBorder="1"/>
    <xf numFmtId="0" fontId="53" fillId="0" borderId="43" xfId="30" applyFont="1" applyFill="1" applyBorder="1" applyAlignment="1">
      <alignment horizontal="right"/>
    </xf>
    <xf numFmtId="0" fontId="53" fillId="0" borderId="59" xfId="30" applyFont="1" applyFill="1" applyBorder="1" applyAlignment="1">
      <alignment horizontal="center"/>
    </xf>
    <xf numFmtId="2" fontId="53" fillId="0" borderId="59" xfId="31" applyNumberFormat="1" applyFont="1" applyBorder="1"/>
    <xf numFmtId="2" fontId="53" fillId="0" borderId="62" xfId="31" applyNumberFormat="1" applyFont="1" applyBorder="1"/>
    <xf numFmtId="0" fontId="53" fillId="0" borderId="13" xfId="30" applyFont="1" applyFill="1" applyBorder="1" applyAlignment="1">
      <alignment horizontal="right"/>
    </xf>
    <xf numFmtId="0" fontId="53" fillId="0" borderId="60" xfId="30" applyFont="1" applyFill="1" applyBorder="1" applyAlignment="1">
      <alignment horizontal="center"/>
    </xf>
    <xf numFmtId="4" fontId="53" fillId="0" borderId="60" xfId="31" applyNumberFormat="1" applyFont="1" applyBorder="1"/>
    <xf numFmtId="4" fontId="53" fillId="0" borderId="63" xfId="31" applyNumberFormat="1" applyFont="1" applyBorder="1"/>
    <xf numFmtId="9" fontId="53" fillId="0" borderId="60" xfId="34" applyFont="1" applyBorder="1"/>
    <xf numFmtId="9" fontId="53" fillId="0" borderId="63" xfId="34" applyFont="1" applyBorder="1"/>
    <xf numFmtId="0" fontId="54" fillId="0" borderId="13" xfId="31" applyFont="1" applyBorder="1" applyAlignment="1">
      <alignment horizontal="right"/>
    </xf>
    <xf numFmtId="0" fontId="55" fillId="27" borderId="58" xfId="30" applyFont="1" applyFill="1" applyBorder="1" applyAlignment="1">
      <alignment horizontal="right"/>
    </xf>
    <xf numFmtId="4" fontId="56" fillId="27" borderId="61" xfId="31" applyNumberFormat="1" applyFont="1" applyFill="1" applyBorder="1"/>
    <xf numFmtId="4" fontId="56" fillId="27" borderId="64" xfId="31" applyNumberFormat="1" applyFont="1" applyFill="1" applyBorder="1"/>
    <xf numFmtId="14" fontId="53" fillId="0" borderId="0" xfId="30" applyNumberFormat="1" applyFont="1" applyFill="1" applyBorder="1" applyAlignment="1">
      <alignment horizontal="center"/>
    </xf>
    <xf numFmtId="14" fontId="53" fillId="0" borderId="44" xfId="30" applyNumberFormat="1" applyFont="1" applyFill="1" applyBorder="1" applyAlignment="1">
      <alignment horizontal="center"/>
    </xf>
    <xf numFmtId="0" fontId="53" fillId="0" borderId="20" xfId="30" applyFont="1" applyFill="1" applyBorder="1" applyAlignment="1">
      <alignment horizontal="center"/>
    </xf>
    <xf numFmtId="4" fontId="53" fillId="0" borderId="45" xfId="31" applyNumberFormat="1" applyFont="1" applyBorder="1"/>
    <xf numFmtId="4" fontId="53" fillId="0" borderId="0" xfId="31" applyNumberFormat="1" applyFont="1" applyBorder="1"/>
    <xf numFmtId="9" fontId="53" fillId="0" borderId="0" xfId="34" applyFont="1" applyBorder="1"/>
    <xf numFmtId="9" fontId="53" fillId="0" borderId="45" xfId="34" applyFont="1" applyBorder="1"/>
    <xf numFmtId="4" fontId="53" fillId="0" borderId="39" xfId="0" applyNumberFormat="1" applyFont="1" applyBorder="1"/>
    <xf numFmtId="171" fontId="53" fillId="0" borderId="0" xfId="34" applyNumberFormat="1" applyFont="1"/>
    <xf numFmtId="0" fontId="53" fillId="27" borderId="40" xfId="0" applyFont="1" applyFill="1" applyBorder="1"/>
    <xf numFmtId="0" fontId="54" fillId="0" borderId="58" xfId="31" applyFont="1" applyBorder="1" applyAlignment="1">
      <alignment horizontal="right"/>
    </xf>
    <xf numFmtId="0" fontId="54" fillId="0" borderId="61" xfId="31" applyFont="1" applyBorder="1" applyAlignment="1">
      <alignment horizontal="center"/>
    </xf>
    <xf numFmtId="2" fontId="53" fillId="0" borderId="61" xfId="0" applyNumberFormat="1" applyFont="1" applyBorder="1"/>
    <xf numFmtId="2" fontId="53" fillId="0" borderId="64" xfId="0" applyNumberFormat="1" applyFont="1" applyBorder="1"/>
    <xf numFmtId="0" fontId="55" fillId="27" borderId="61" xfId="30" applyFont="1" applyFill="1" applyBorder="1" applyAlignment="1">
      <alignment horizontal="center"/>
    </xf>
    <xf numFmtId="0" fontId="53" fillId="38" borderId="66" xfId="30" applyFont="1" applyFill="1" applyBorder="1" applyAlignment="1">
      <alignment horizontal="center"/>
    </xf>
    <xf numFmtId="2" fontId="53" fillId="38" borderId="66" xfId="31" applyNumberFormat="1" applyFont="1" applyFill="1" applyBorder="1"/>
    <xf numFmtId="0" fontId="53" fillId="38" borderId="68" xfId="30" applyFont="1" applyFill="1" applyBorder="1" applyAlignment="1">
      <alignment horizontal="center"/>
    </xf>
    <xf numFmtId="2" fontId="53" fillId="38" borderId="68" xfId="31" applyNumberFormat="1" applyFont="1" applyFill="1" applyBorder="1"/>
    <xf numFmtId="0" fontId="53" fillId="38" borderId="70" xfId="30" applyFont="1" applyFill="1" applyBorder="1" applyAlignment="1">
      <alignment horizontal="center"/>
    </xf>
    <xf numFmtId="2" fontId="53" fillId="38" borderId="70" xfId="31" applyNumberFormat="1" applyFont="1" applyFill="1" applyBorder="1"/>
    <xf numFmtId="0" fontId="53" fillId="38" borderId="65" xfId="30" applyFont="1" applyFill="1" applyBorder="1" applyAlignment="1">
      <alignment horizontal="right"/>
    </xf>
    <xf numFmtId="0" fontId="53" fillId="38" borderId="67" xfId="30" applyFont="1" applyFill="1" applyBorder="1" applyAlignment="1">
      <alignment horizontal="right"/>
    </xf>
    <xf numFmtId="0" fontId="53" fillId="38" borderId="69" xfId="30" applyFont="1" applyFill="1" applyBorder="1" applyAlignment="1">
      <alignment horizontal="right"/>
    </xf>
    <xf numFmtId="0" fontId="55" fillId="39" borderId="58" xfId="30" applyFont="1" applyFill="1" applyBorder="1" applyAlignment="1">
      <alignment horizontal="right"/>
    </xf>
    <xf numFmtId="0" fontId="55" fillId="39" borderId="61" xfId="30" applyFont="1" applyFill="1" applyBorder="1" applyAlignment="1">
      <alignment horizontal="center"/>
    </xf>
    <xf numFmtId="4" fontId="56" fillId="39" borderId="61" xfId="31" applyNumberFormat="1" applyFont="1" applyFill="1" applyBorder="1"/>
    <xf numFmtId="4" fontId="56" fillId="39" borderId="64" xfId="31" applyNumberFormat="1" applyFont="1" applyFill="1" applyBorder="1"/>
    <xf numFmtId="0" fontId="53" fillId="39" borderId="39" xfId="0" applyFont="1" applyFill="1" applyBorder="1"/>
    <xf numFmtId="0" fontId="53" fillId="39" borderId="40" xfId="0" applyFont="1" applyFill="1" applyBorder="1"/>
    <xf numFmtId="2" fontId="53" fillId="0" borderId="22" xfId="0" applyNumberFormat="1" applyFont="1" applyBorder="1"/>
    <xf numFmtId="2" fontId="53" fillId="0" borderId="44" xfId="0" applyNumberFormat="1" applyFont="1" applyBorder="1"/>
    <xf numFmtId="0" fontId="53" fillId="0" borderId="45" xfId="0" applyFont="1" applyBorder="1"/>
    <xf numFmtId="2" fontId="53" fillId="38" borderId="71" xfId="31" applyNumberFormat="1" applyFont="1" applyFill="1" applyBorder="1"/>
    <xf numFmtId="2" fontId="53" fillId="38" borderId="72" xfId="31" applyNumberFormat="1" applyFont="1" applyFill="1" applyBorder="1"/>
    <xf numFmtId="0" fontId="54" fillId="0" borderId="38" xfId="31" applyFont="1" applyBorder="1" applyAlignment="1">
      <alignment wrapText="1"/>
    </xf>
    <xf numFmtId="169" fontId="53" fillId="38" borderId="70" xfId="31" applyNumberFormat="1" applyFont="1" applyFill="1" applyBorder="1"/>
    <xf numFmtId="0" fontId="53" fillId="0" borderId="0" xfId="30" applyFont="1"/>
    <xf numFmtId="0" fontId="54" fillId="0" borderId="0" xfId="31" applyFont="1"/>
    <xf numFmtId="0" fontId="54" fillId="0" borderId="23" xfId="31" applyFont="1" applyBorder="1"/>
    <xf numFmtId="0" fontId="54" fillId="0" borderId="24" xfId="31" applyFont="1" applyBorder="1"/>
    <xf numFmtId="0" fontId="54" fillId="0" borderId="25" xfId="31" applyFont="1" applyBorder="1"/>
    <xf numFmtId="0" fontId="53" fillId="0" borderId="26" xfId="30" applyFont="1" applyFill="1" applyBorder="1"/>
    <xf numFmtId="0" fontId="53" fillId="0" borderId="0" xfId="30" applyFont="1" applyFill="1" applyBorder="1"/>
    <xf numFmtId="0" fontId="57" fillId="0" borderId="0" xfId="30" applyFont="1" applyFill="1" applyBorder="1" applyAlignment="1">
      <alignment horizontal="right"/>
    </xf>
    <xf numFmtId="14" fontId="57" fillId="0" borderId="27" xfId="30" applyNumberFormat="1" applyFont="1" applyFill="1" applyBorder="1"/>
    <xf numFmtId="0" fontId="54" fillId="0" borderId="0" xfId="31" applyFont="1" applyFill="1"/>
    <xf numFmtId="0" fontId="53" fillId="0" borderId="27" xfId="30" applyFont="1" applyFill="1" applyBorder="1"/>
    <xf numFmtId="14" fontId="53" fillId="0" borderId="20" xfId="30" applyNumberFormat="1" applyFont="1" applyFill="1" applyBorder="1" applyAlignment="1">
      <alignment horizontal="center"/>
    </xf>
    <xf numFmtId="164" fontId="54" fillId="0" borderId="0" xfId="31" applyNumberFormat="1" applyFont="1"/>
    <xf numFmtId="0" fontId="53" fillId="0" borderId="0" xfId="30" applyFont="1" applyFill="1" applyBorder="1" applyAlignment="1">
      <alignment horizontal="right"/>
    </xf>
    <xf numFmtId="0" fontId="53" fillId="0" borderId="0" xfId="31" applyFont="1"/>
    <xf numFmtId="9" fontId="54" fillId="0" borderId="0" xfId="31" applyNumberFormat="1" applyFont="1"/>
    <xf numFmtId="14" fontId="53" fillId="0" borderId="45" xfId="30" applyNumberFormat="1" applyFont="1" applyFill="1" applyBorder="1" applyAlignment="1">
      <alignment horizontal="center"/>
    </xf>
    <xf numFmtId="172" fontId="53" fillId="0" borderId="20" xfId="30" applyNumberFormat="1" applyFont="1" applyFill="1" applyBorder="1" applyAlignment="1">
      <alignment horizontal="center"/>
    </xf>
    <xf numFmtId="2" fontId="53" fillId="0" borderId="20" xfId="30" applyNumberFormat="1" applyFont="1" applyFill="1" applyBorder="1" applyAlignment="1">
      <alignment horizontal="center"/>
    </xf>
    <xf numFmtId="164" fontId="53" fillId="0" borderId="0" xfId="31" applyNumberFormat="1" applyFont="1"/>
    <xf numFmtId="164" fontId="53" fillId="0" borderId="0" xfId="31" applyNumberFormat="1" applyFont="1" applyFill="1"/>
    <xf numFmtId="164" fontId="53" fillId="0" borderId="22" xfId="31" applyNumberFormat="1" applyFont="1" applyBorder="1"/>
    <xf numFmtId="164" fontId="58" fillId="0" borderId="0" xfId="31" applyNumberFormat="1" applyFont="1"/>
    <xf numFmtId="0" fontId="54" fillId="0" borderId="22" xfId="31" applyFont="1" applyBorder="1"/>
    <xf numFmtId="0" fontId="54" fillId="0" borderId="37" xfId="31" applyFont="1" applyBorder="1"/>
    <xf numFmtId="0" fontId="53" fillId="0" borderId="22" xfId="30" applyFont="1" applyFill="1" applyBorder="1" applyAlignment="1">
      <alignment horizontal="right"/>
    </xf>
    <xf numFmtId="0" fontId="53" fillId="0" borderId="61" xfId="30" applyFont="1" applyFill="1" applyBorder="1" applyAlignment="1">
      <alignment horizontal="center"/>
    </xf>
    <xf numFmtId="4" fontId="53" fillId="0" borderId="22" xfId="31" applyNumberFormat="1" applyFont="1" applyBorder="1"/>
    <xf numFmtId="0" fontId="59" fillId="40" borderId="0" xfId="0" applyFont="1" applyFill="1" applyAlignment="1">
      <alignment horizontal="center" vertical="center" wrapText="1"/>
    </xf>
    <xf numFmtId="0" fontId="60" fillId="41" borderId="0" xfId="0" applyFont="1" applyFill="1" applyAlignment="1">
      <alignment horizontal="center" wrapText="1"/>
    </xf>
    <xf numFmtId="0" fontId="61" fillId="42" borderId="0" xfId="0" applyFont="1" applyFill="1" applyAlignment="1">
      <alignment horizontal="center" wrapText="1"/>
    </xf>
    <xf numFmtId="0" fontId="1" fillId="0" borderId="0" xfId="0" applyFont="1"/>
    <xf numFmtId="0" fontId="47" fillId="0" borderId="0" xfId="47" applyAlignment="1" applyProtection="1"/>
    <xf numFmtId="0" fontId="60" fillId="41" borderId="74" xfId="0" applyFont="1" applyFill="1" applyBorder="1" applyAlignment="1">
      <alignment horizontal="center" wrapText="1"/>
    </xf>
    <xf numFmtId="0" fontId="61" fillId="42" borderId="74" xfId="0" applyFont="1" applyFill="1" applyBorder="1" applyAlignment="1">
      <alignment horizontal="center" wrapText="1"/>
    </xf>
    <xf numFmtId="0" fontId="61" fillId="42" borderId="0" xfId="0" applyFont="1" applyFill="1" applyBorder="1" applyAlignment="1">
      <alignment horizontal="center" wrapText="1"/>
    </xf>
    <xf numFmtId="0" fontId="53" fillId="27" borderId="60" xfId="30" applyFont="1" applyFill="1" applyBorder="1" applyAlignment="1">
      <alignment horizontal="center"/>
    </xf>
    <xf numFmtId="4" fontId="8" fillId="43" borderId="16" xfId="30" applyNumberFormat="1" applyFont="1" applyFill="1" applyBorder="1" applyAlignment="1" applyProtection="1">
      <alignment horizontal="center"/>
    </xf>
    <xf numFmtId="169" fontId="53" fillId="38" borderId="73" xfId="31" applyNumberFormat="1" applyFont="1" applyFill="1" applyBorder="1"/>
    <xf numFmtId="2" fontId="53" fillId="38" borderId="73" xfId="31" applyNumberFormat="1" applyFont="1" applyFill="1" applyBorder="1"/>
    <xf numFmtId="4" fontId="3" fillId="25" borderId="33" xfId="30" applyNumberFormat="1" applyFont="1" applyFill="1" applyBorder="1" applyAlignment="1" applyProtection="1">
      <alignment horizontal="center"/>
    </xf>
    <xf numFmtId="4" fontId="3" fillId="25" borderId="33" xfId="30" applyNumberFormat="1" applyFont="1" applyFill="1" applyBorder="1" applyAlignment="1">
      <alignment horizontal="center"/>
    </xf>
    <xf numFmtId="3" fontId="10" fillId="25" borderId="34" xfId="30" applyNumberFormat="1" applyFont="1" applyFill="1" applyBorder="1" applyAlignment="1">
      <alignment horizontal="center"/>
    </xf>
    <xf numFmtId="14" fontId="6" fillId="0" borderId="75" xfId="30" applyNumberFormat="1" applyFont="1" applyFill="1" applyBorder="1" applyAlignment="1">
      <alignment horizontal="center"/>
    </xf>
    <xf numFmtId="0" fontId="34" fillId="25" borderId="76" xfId="30" applyFont="1" applyFill="1" applyBorder="1"/>
    <xf numFmtId="4" fontId="9" fillId="25" borderId="77" xfId="30" applyNumberFormat="1" applyFont="1" applyFill="1" applyBorder="1" applyAlignment="1" applyProtection="1">
      <alignment horizontal="center"/>
    </xf>
    <xf numFmtId="4" fontId="9" fillId="25" borderId="77" xfId="30" applyNumberFormat="1" applyFont="1" applyFill="1" applyBorder="1" applyAlignment="1">
      <alignment horizontal="center"/>
    </xf>
    <xf numFmtId="4" fontId="12" fillId="25" borderId="77" xfId="30" applyNumberFormat="1" applyFont="1" applyFill="1" applyBorder="1" applyAlignment="1">
      <alignment horizontal="center"/>
    </xf>
    <xf numFmtId="3" fontId="14" fillId="25" borderId="78" xfId="30" applyNumberFormat="1" applyFont="1" applyFill="1" applyBorder="1" applyAlignment="1">
      <alignment horizontal="center"/>
    </xf>
    <xf numFmtId="0" fontId="1" fillId="0" borderId="77" xfId="30" applyFill="1" applyBorder="1" applyAlignment="1">
      <alignment horizontal="center"/>
    </xf>
    <xf numFmtId="0" fontId="35" fillId="0" borderId="77" xfId="31" applyFont="1" applyBorder="1"/>
    <xf numFmtId="0" fontId="36" fillId="0" borderId="77" xfId="30" applyFont="1" applyBorder="1"/>
    <xf numFmtId="4" fontId="8" fillId="44" borderId="16" xfId="30" applyNumberFormat="1" applyFont="1" applyFill="1" applyBorder="1" applyAlignment="1" applyProtection="1">
      <alignment horizontal="center"/>
    </xf>
    <xf numFmtId="14" fontId="3" fillId="0" borderId="49" xfId="30" applyNumberFormat="1" applyFont="1" applyFill="1" applyBorder="1" applyAlignment="1">
      <alignment horizontal="center"/>
    </xf>
    <xf numFmtId="0" fontId="10" fillId="25" borderId="38" xfId="30" applyFont="1" applyFill="1" applyBorder="1"/>
    <xf numFmtId="4" fontId="3" fillId="25" borderId="13" xfId="30" applyNumberFormat="1" applyFont="1" applyFill="1" applyBorder="1" applyAlignment="1" applyProtection="1">
      <alignment horizontal="center"/>
    </xf>
    <xf numFmtId="4" fontId="3" fillId="25" borderId="13" xfId="30" applyNumberFormat="1" applyFont="1" applyFill="1" applyBorder="1" applyAlignment="1">
      <alignment horizontal="center"/>
    </xf>
    <xf numFmtId="3" fontId="10" fillId="25" borderId="79" xfId="30" applyNumberFormat="1" applyFont="1" applyFill="1" applyBorder="1" applyAlignment="1">
      <alignment horizontal="center"/>
    </xf>
    <xf numFmtId="168" fontId="2" fillId="24" borderId="80" xfId="30" applyNumberFormat="1" applyFont="1" applyFill="1" applyBorder="1" applyAlignment="1">
      <alignment horizontal="center"/>
    </xf>
    <xf numFmtId="2" fontId="3" fillId="0" borderId="49" xfId="30" applyNumberFormat="1" applyFont="1" applyFill="1" applyBorder="1" applyAlignment="1" applyProtection="1">
      <alignment horizontal="center"/>
    </xf>
    <xf numFmtId="0" fontId="10" fillId="0" borderId="81" xfId="30" applyFont="1" applyFill="1" applyBorder="1" applyAlignment="1">
      <alignment horizontal="center"/>
    </xf>
    <xf numFmtId="10" fontId="37" fillId="0" borderId="81" xfId="34" applyNumberFormat="1" applyFont="1" applyBorder="1" applyAlignment="1">
      <alignment horizontal="center" vertical="top"/>
    </xf>
    <xf numFmtId="10" fontId="37" fillId="0" borderId="17" xfId="34" applyNumberFormat="1" applyFont="1" applyBorder="1" applyAlignment="1">
      <alignment horizontal="center" vertical="top"/>
    </xf>
    <xf numFmtId="2" fontId="3" fillId="0" borderId="49" xfId="30" applyNumberFormat="1" applyFont="1" applyFill="1" applyBorder="1" applyAlignment="1">
      <alignment horizontal="center"/>
    </xf>
    <xf numFmtId="0" fontId="49" fillId="0" borderId="0" xfId="31" applyFont="1" applyBorder="1"/>
    <xf numFmtId="169" fontId="3" fillId="0" borderId="49" xfId="30" applyNumberFormat="1" applyFont="1" applyFill="1" applyBorder="1" applyAlignment="1">
      <alignment horizontal="center"/>
    </xf>
    <xf numFmtId="0" fontId="49" fillId="0" borderId="27" xfId="31" applyFont="1" applyFill="1" applyBorder="1"/>
    <xf numFmtId="0" fontId="49" fillId="0" borderId="36" xfId="31" applyFont="1" applyBorder="1"/>
    <xf numFmtId="0" fontId="63" fillId="0" borderId="0" xfId="47" applyFont="1" applyAlignment="1" applyProtection="1"/>
    <xf numFmtId="17" fontId="64" fillId="45" borderId="0" xfId="0" applyNumberFormat="1" applyFont="1" applyFill="1" applyAlignment="1">
      <alignment horizontal="center" vertical="top" wrapText="1"/>
    </xf>
    <xf numFmtId="0" fontId="65" fillId="46" borderId="0" xfId="0" applyFont="1" applyFill="1" applyAlignment="1">
      <alignment horizontal="right" vertical="top"/>
    </xf>
    <xf numFmtId="0" fontId="49" fillId="0" borderId="25" xfId="31" applyFont="1" applyBorder="1"/>
    <xf numFmtId="0" fontId="10" fillId="24" borderId="45" xfId="30" applyFont="1" applyFill="1" applyBorder="1"/>
    <xf numFmtId="0" fontId="49" fillId="0" borderId="18" xfId="31" applyFont="1" applyBorder="1"/>
    <xf numFmtId="43" fontId="49" fillId="0" borderId="0" xfId="48" applyFont="1"/>
    <xf numFmtId="43" fontId="49" fillId="0" borderId="0" xfId="31" applyNumberFormat="1" applyFont="1"/>
    <xf numFmtId="0" fontId="49" fillId="0" borderId="40" xfId="31" applyFont="1" applyBorder="1"/>
    <xf numFmtId="168" fontId="2" fillId="24" borderId="41" xfId="30" applyNumberFormat="1" applyFont="1" applyFill="1" applyBorder="1" applyAlignment="1">
      <alignment horizontal="center"/>
    </xf>
    <xf numFmtId="10" fontId="37" fillId="0" borderId="82" xfId="34" applyNumberFormat="1" applyFont="1" applyBorder="1" applyAlignment="1">
      <alignment horizontal="center" vertical="top"/>
    </xf>
    <xf numFmtId="10" fontId="37" fillId="0" borderId="18" xfId="34" applyNumberFormat="1" applyFont="1" applyBorder="1" applyAlignment="1">
      <alignment horizontal="center" vertical="top"/>
    </xf>
    <xf numFmtId="2" fontId="3" fillId="0" borderId="21" xfId="30" applyNumberFormat="1" applyFont="1" applyFill="1" applyBorder="1" applyAlignment="1">
      <alignment horizontal="center"/>
    </xf>
    <xf numFmtId="0" fontId="49" fillId="0" borderId="45" xfId="31" applyFont="1" applyBorder="1"/>
    <xf numFmtId="169" fontId="3" fillId="0" borderId="21" xfId="30" applyNumberFormat="1" applyFont="1" applyFill="1" applyBorder="1" applyAlignment="1">
      <alignment horizontal="center"/>
    </xf>
    <xf numFmtId="14" fontId="38" fillId="0" borderId="27" xfId="30" applyNumberFormat="1" applyFont="1" applyFill="1" applyBorder="1" applyAlignment="1">
      <alignment horizontal="right"/>
    </xf>
    <xf numFmtId="170" fontId="65" fillId="46" borderId="0" xfId="0" applyNumberFormat="1" applyFont="1" applyFill="1" applyAlignment="1">
      <alignment horizontal="right" vertical="top"/>
    </xf>
    <xf numFmtId="0" fontId="3" fillId="0" borderId="0" xfId="30" applyFont="1" applyBorder="1" applyAlignment="1">
      <alignment horizontal="right"/>
    </xf>
    <xf numFmtId="0" fontId="41" fillId="29" borderId="47" xfId="46" applyFont="1" applyFill="1" applyBorder="1" applyAlignment="1">
      <alignment horizontal="right" vertical="center" wrapText="1"/>
    </xf>
    <xf numFmtId="0" fontId="41" fillId="29" borderId="48" xfId="46" applyFont="1" applyFill="1" applyBorder="1" applyAlignment="1">
      <alignment horizontal="right" vertical="center" wrapText="1"/>
    </xf>
    <xf numFmtId="0" fontId="46" fillId="0" borderId="49" xfId="46" applyFont="1" applyBorder="1" applyAlignment="1">
      <alignment horizontal="center"/>
    </xf>
    <xf numFmtId="0" fontId="46" fillId="0" borderId="10" xfId="46" applyFont="1" applyBorder="1" applyAlignment="1">
      <alignment horizontal="center"/>
    </xf>
    <xf numFmtId="0" fontId="46" fillId="0" borderId="11" xfId="46" applyFont="1" applyBorder="1" applyAlignment="1">
      <alignment horizontal="center"/>
    </xf>
    <xf numFmtId="0" fontId="0" fillId="27" borderId="22" xfId="0" applyFill="1" applyBorder="1" applyAlignment="1">
      <alignment horizontal="center"/>
    </xf>
    <xf numFmtId="0" fontId="54" fillId="28" borderId="53" xfId="31" applyFont="1" applyFill="1" applyBorder="1" applyAlignment="1">
      <alignment horizontal="center"/>
    </xf>
    <xf numFmtId="0" fontId="54" fillId="28" borderId="54" xfId="31" applyFont="1" applyFill="1" applyBorder="1" applyAlignment="1">
      <alignment horizontal="center"/>
    </xf>
    <xf numFmtId="0" fontId="54" fillId="28" borderId="55" xfId="31" applyFont="1" applyFill="1" applyBorder="1" applyAlignment="1">
      <alignment horizontal="center"/>
    </xf>
    <xf numFmtId="0" fontId="54" fillId="27" borderId="49" xfId="31" applyFont="1" applyFill="1" applyBorder="1" applyAlignment="1">
      <alignment horizontal="center"/>
    </xf>
    <xf numFmtId="0" fontId="54" fillId="27" borderId="10" xfId="31" applyFont="1" applyFill="1" applyBorder="1" applyAlignment="1">
      <alignment horizontal="center"/>
    </xf>
    <xf numFmtId="0" fontId="54" fillId="27" borderId="11" xfId="31" applyFont="1" applyFill="1" applyBorder="1" applyAlignment="1">
      <alignment horizontal="center"/>
    </xf>
    <xf numFmtId="0" fontId="54" fillId="27" borderId="53" xfId="31" applyFont="1" applyFill="1" applyBorder="1" applyAlignment="1">
      <alignment horizontal="center"/>
    </xf>
    <xf numFmtId="0" fontId="54" fillId="27" borderId="54" xfId="31" applyFont="1" applyFill="1" applyBorder="1" applyAlignment="1">
      <alignment horizontal="center"/>
    </xf>
    <xf numFmtId="0" fontId="54" fillId="27" borderId="55" xfId="31" applyFont="1" applyFill="1" applyBorder="1" applyAlignment="1">
      <alignment horizontal="center"/>
    </xf>
  </cellXfs>
  <cellStyles count="49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47" builtinId="8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48" builtinId="3"/>
    <cellStyle name="Neutrale" xfId="29" builtinId="28" customBuiltin="1"/>
    <cellStyle name="Normale" xfId="0" builtinId="0"/>
    <cellStyle name="Normale 2" xfId="30" xr:uid="{00000000-0005-0000-0000-00001F000000}"/>
    <cellStyle name="Normale 3" xfId="46" xr:uid="{00000000-0005-0000-0000-000020000000}"/>
    <cellStyle name="Normale_Rivalutazione prezzi" xfId="31" xr:uid="{00000000-0005-0000-0000-000021000000}"/>
    <cellStyle name="Nota" xfId="32" builtinId="10" customBuiltin="1"/>
    <cellStyle name="Output" xfId="33" builtinId="21" customBuiltin="1"/>
    <cellStyle name="Percentuale" xfId="34" builtinId="5"/>
    <cellStyle name="Percentuale 2" xfId="35" xr:uid="{00000000-0005-0000-0000-000025000000}"/>
    <cellStyle name="Testo avviso" xfId="36" builtinId="11" customBuiltin="1"/>
    <cellStyle name="Testo descrittivo" xfId="37" builtinId="53" customBuiltin="1"/>
    <cellStyle name="Titolo" xfId="38" builtinId="15" customBuiltin="1"/>
    <cellStyle name="Titolo 1" xfId="39" builtinId="16" customBuiltin="1"/>
    <cellStyle name="Titolo 2" xfId="40" builtinId="17" customBuiltin="1"/>
    <cellStyle name="Titolo 3" xfId="41" builtinId="18" customBuiltin="1"/>
    <cellStyle name="Titolo 4" xfId="42" builtinId="19" customBuiltin="1"/>
    <cellStyle name="Totale" xfId="43" builtinId="25" customBuiltin="1"/>
    <cellStyle name="Valore non valido" xfId="44" builtinId="27" customBuiltin="1"/>
    <cellStyle name="Valore valido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57150</xdr:rowOff>
    </xdr:from>
    <xdr:to>
      <xdr:col>2</xdr:col>
      <xdr:colOff>2066925</xdr:colOff>
      <xdr:row>7</xdr:row>
      <xdr:rowOff>95250</xdr:rowOff>
    </xdr:to>
    <xdr:pic>
      <xdr:nvPicPr>
        <xdr:cNvPr id="3" name="Immagine 2" descr="logo Amiata Energia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14325" y="447675"/>
          <a:ext cx="2324100" cy="1000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85725</xdr:rowOff>
    </xdr:from>
    <xdr:to>
      <xdr:col>2</xdr:col>
      <xdr:colOff>1876425</xdr:colOff>
      <xdr:row>7</xdr:row>
      <xdr:rowOff>76201</xdr:rowOff>
    </xdr:to>
    <xdr:pic>
      <xdr:nvPicPr>
        <xdr:cNvPr id="3" name="Immagine 2" descr="logo Amiata Energia_CMY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85750" y="419100"/>
          <a:ext cx="2162175" cy="8096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2</xdr:row>
      <xdr:rowOff>66675</xdr:rowOff>
    </xdr:from>
    <xdr:to>
      <xdr:col>2</xdr:col>
      <xdr:colOff>2124075</xdr:colOff>
      <xdr:row>6</xdr:row>
      <xdr:rowOff>85726</xdr:rowOff>
    </xdr:to>
    <xdr:pic>
      <xdr:nvPicPr>
        <xdr:cNvPr id="2" name="Immagine 1" descr="logo Amiata Energia_CMYK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95300" y="457200"/>
          <a:ext cx="1990725" cy="80962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2</xdr:row>
      <xdr:rowOff>47625</xdr:rowOff>
    </xdr:from>
    <xdr:to>
      <xdr:col>2</xdr:col>
      <xdr:colOff>2181225</xdr:colOff>
      <xdr:row>6</xdr:row>
      <xdr:rowOff>66676</xdr:rowOff>
    </xdr:to>
    <xdr:pic>
      <xdr:nvPicPr>
        <xdr:cNvPr id="3" name="Immagine 2" descr="logo Amiata Energia_CMYK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62000" y="438150"/>
          <a:ext cx="1990725" cy="80962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4</xdr:col>
      <xdr:colOff>57150</xdr:colOff>
      <xdr:row>4</xdr:row>
      <xdr:rowOff>140634</xdr:rowOff>
    </xdr:to>
    <xdr:pic>
      <xdr:nvPicPr>
        <xdr:cNvPr id="1025" name="Picture 1" descr="https://www.sir.toscana.it/supports/images/sir/logo_reg.jpg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161925"/>
          <a:ext cx="1857375" cy="62640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542924</xdr:colOff>
      <xdr:row>1</xdr:row>
      <xdr:rowOff>9525</xdr:rowOff>
    </xdr:from>
    <xdr:to>
      <xdr:col>13</xdr:col>
      <xdr:colOff>333375</xdr:colOff>
      <xdr:row>5</xdr:row>
      <xdr:rowOff>79888</xdr:rowOff>
    </xdr:to>
    <xdr:pic>
      <xdr:nvPicPr>
        <xdr:cNvPr id="1026" name="Picture 2" descr="https://www.sir.toscana.it/supports/images/sir/logo_sir.jpg">
          <a:extLst>
            <a:ext uri="{FF2B5EF4-FFF2-40B4-BE49-F238E27FC236}">
              <a16:creationId xmlns:a16="http://schemas.microsoft.com/office/drawing/2014/main" id="{00000000-0008-0000-07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71724" y="171450"/>
          <a:ext cx="5886451" cy="71806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OGGIO/Due%20diligence/Alemanni/calcolo%20coeffeciente%20energetico%202019-2020%20e%20tabella%20di%20ripartizione%20volumetr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OGGIO/Due%20diligence/Alemanni/calcolo%20coeffeciente%20energetico%202020-2021%20e%20tabella%20di%20ripartizione%20volumetr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POGGIO/Due%20diligence/Alemanni/calcolo%20coeffeciente%20energetico%202021-2022%20e%20tabella%20di%20ripartizione%20volumetr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iciente energetico 18- 19"/>
      <sheetName val="coefficiente energetico 19-20"/>
      <sheetName val="Database"/>
      <sheetName val="2019-2020"/>
      <sheetName val="DB 2020"/>
      <sheetName val="Contratti 2020"/>
      <sheetName val="Utenti a misura"/>
      <sheetName val="letture 2019-2020"/>
      <sheetName val="c.o.a."/>
      <sheetName val="Nuovi contratti"/>
      <sheetName val="vecchio regolamento"/>
      <sheetName val="letture"/>
      <sheetName val="nuove letture"/>
    </sheetNames>
    <sheetDataSet>
      <sheetData sheetId="0"/>
      <sheetData sheetId="1">
        <row r="19">
          <cell r="K19">
            <v>0.15231994184325873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iciente energetico 18- 19"/>
      <sheetName val="coefficiente energetico 19-20"/>
      <sheetName val="Database"/>
      <sheetName val="coefficiente energetico 19- 21"/>
      <sheetName val="misura 21"/>
      <sheetName val="Db2021"/>
      <sheetName val="2019-2020"/>
      <sheetName val="DB 2020"/>
      <sheetName val="Contratti 2020"/>
      <sheetName val="Utenti a misura"/>
      <sheetName val="letture 2019-2020"/>
      <sheetName val="c.o.a."/>
      <sheetName val="Nuovi contratti"/>
      <sheetName val="vecchio regolamento"/>
      <sheetName val="letture"/>
      <sheetName val="nuove letture"/>
    </sheetNames>
    <sheetDataSet>
      <sheetData sheetId="0"/>
      <sheetData sheetId="1"/>
      <sheetData sheetId="2"/>
      <sheetData sheetId="3">
        <row r="19">
          <cell r="O19">
            <v>0.15068154684325383</v>
          </cell>
        </row>
      </sheetData>
      <sheetData sheetId="4">
        <row r="1">
          <cell r="A1" t="str">
            <v>Codice utente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iciente energetico 18- 19"/>
      <sheetName val="coefficiente energetico 19-20"/>
      <sheetName val="Database"/>
      <sheetName val="coefficiente energetico 19- 21"/>
      <sheetName val="misura 21"/>
      <sheetName val="Db2021"/>
      <sheetName val="coefficiente energetico 21- 22"/>
      <sheetName val="Misura 22"/>
      <sheetName val="DB22"/>
      <sheetName val="2019-2020"/>
      <sheetName val="DB 2020"/>
      <sheetName val="Contratti 2020"/>
      <sheetName val="Utenti a misura"/>
      <sheetName val="letture 2019-2020"/>
      <sheetName val="c.o.a."/>
      <sheetName val="Nuovi contratti"/>
      <sheetName val="vecchio regolamento"/>
      <sheetName val="letture"/>
      <sheetName val="nuove letture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R20">
            <v>0.14999360557822575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i1.istat.it/MetadataWebApplication/ShowMetadata.ashx?Dataset=DCSP_FOI1&amp;ShowOnWeb=true&amp;Lang=fr" TargetMode="External"/><Relationship Id="rId2" Type="http://schemas.openxmlformats.org/officeDocument/2006/relationships/hyperlink" Target="http://dati1.istat.it/MetadataWebApplication/ShowMetadata.ashx?Dataset=DCSP_FOI1&amp;ShowOnWeb=true&amp;Lang=fr" TargetMode="External"/><Relationship Id="rId1" Type="http://schemas.openxmlformats.org/officeDocument/2006/relationships/hyperlink" Target="http://dati1.istat.it/MetadataWebApplication/ShowMetadata.ashx?Dataset=DCSP_FOI1&amp;ShowOnWeb=true&amp;Lang=fr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dati.istat.it/Index.aspx?DataSetCode=DCSP_FOI1B201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sistal.it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ir.toscan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42"/>
  <sheetViews>
    <sheetView showGridLines="0" zoomScale="70" zoomScaleNormal="70" workbookViewId="0">
      <selection activeCell="W8" sqref="W8"/>
    </sheetView>
  </sheetViews>
  <sheetFormatPr defaultColWidth="9.1328125" defaultRowHeight="14.25" x14ac:dyDescent="0.45"/>
  <cols>
    <col min="1" max="1" width="3.265625" style="3" customWidth="1"/>
    <col min="2" max="2" width="5.265625" style="3" customWidth="1"/>
    <col min="3" max="3" width="48.59765625" style="3" customWidth="1"/>
    <col min="4" max="4" width="13" style="3" customWidth="1"/>
    <col min="5" max="5" width="2.1328125" style="3" customWidth="1"/>
    <col min="6" max="6" width="13.1328125" style="3" customWidth="1"/>
    <col min="7" max="7" width="12.86328125" style="3" hidden="1" customWidth="1"/>
    <col min="8" max="8" width="12.1328125" style="3" hidden="1" customWidth="1"/>
    <col min="9" max="9" width="12.86328125" style="3" hidden="1" customWidth="1"/>
    <col min="10" max="10" width="12.265625" style="3" hidden="1" customWidth="1"/>
    <col min="11" max="11" width="11.59765625" style="3" customWidth="1"/>
    <col min="12" max="12" width="11.3984375" style="3" customWidth="1"/>
    <col min="13" max="14" width="11.265625" style="3" customWidth="1"/>
    <col min="15" max="15" width="11.3984375" style="3" customWidth="1"/>
    <col min="16" max="25" width="11.73046875" style="3" customWidth="1"/>
    <col min="26" max="27" width="12.265625" style="3" customWidth="1"/>
    <col min="28" max="16384" width="9.1328125" style="3"/>
  </cols>
  <sheetData>
    <row r="1" spans="2:27" x14ac:dyDescent="0.4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7" ht="14.65" thickBot="1" x14ac:dyDescent="0.5"/>
    <row r="3" spans="2:27" ht="14.65" thickTop="1" x14ac:dyDescent="0.45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1"/>
    </row>
    <row r="4" spans="2:27" s="28" customFormat="1" x14ac:dyDescent="0.45"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4"/>
    </row>
    <row r="5" spans="2:27" s="28" customFormat="1" x14ac:dyDescent="0.45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4"/>
    </row>
    <row r="6" spans="2:27" s="28" customFormat="1" x14ac:dyDescent="0.45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4"/>
    </row>
    <row r="7" spans="2:27" s="28" customFormat="1" x14ac:dyDescent="0.45"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4"/>
    </row>
    <row r="8" spans="2:27" s="28" customFormat="1" x14ac:dyDescent="0.45"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4"/>
    </row>
    <row r="9" spans="2:27" x14ac:dyDescent="0.45">
      <c r="B9" s="35"/>
      <c r="C9" s="36" t="s">
        <v>22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8"/>
    </row>
    <row r="10" spans="2:27" ht="14.65" thickBot="1" x14ac:dyDescent="0.5">
      <c r="B10" s="3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40"/>
    </row>
    <row r="11" spans="2:27" ht="15.75" thickBot="1" x14ac:dyDescent="0.5">
      <c r="B11" s="41"/>
      <c r="C11" s="4" t="s">
        <v>0</v>
      </c>
      <c r="D11" s="5" t="s">
        <v>1</v>
      </c>
      <c r="E11" s="42"/>
      <c r="F11" s="21">
        <v>37012</v>
      </c>
      <c r="G11" s="21">
        <v>37377</v>
      </c>
      <c r="H11" s="21">
        <v>37742</v>
      </c>
      <c r="I11" s="21">
        <v>38108</v>
      </c>
      <c r="J11" s="21">
        <v>38473</v>
      </c>
      <c r="K11" s="55">
        <v>38838</v>
      </c>
      <c r="L11" s="55">
        <v>39203</v>
      </c>
      <c r="M11" s="55">
        <v>39569</v>
      </c>
      <c r="N11" s="55">
        <v>39934</v>
      </c>
      <c r="O11" s="55">
        <v>40299</v>
      </c>
      <c r="P11" s="55">
        <v>40664</v>
      </c>
      <c r="Q11" s="55">
        <v>41030</v>
      </c>
      <c r="R11" s="55">
        <v>41395</v>
      </c>
      <c r="S11" s="55">
        <v>41760</v>
      </c>
      <c r="T11" s="55">
        <v>42125</v>
      </c>
      <c r="U11" s="55">
        <v>42491</v>
      </c>
      <c r="V11" s="55">
        <v>42856</v>
      </c>
      <c r="W11" s="55">
        <v>43221</v>
      </c>
      <c r="X11" s="56">
        <v>43586</v>
      </c>
      <c r="Y11" s="56">
        <v>43952</v>
      </c>
      <c r="Z11" s="56">
        <v>44317</v>
      </c>
      <c r="AA11" s="267">
        <v>44682</v>
      </c>
    </row>
    <row r="12" spans="2:27" x14ac:dyDescent="0.45">
      <c r="B12" s="39"/>
      <c r="C12" s="6"/>
      <c r="D12" s="7"/>
      <c r="E12" s="6"/>
      <c r="F12" s="22"/>
      <c r="G12" s="22"/>
      <c r="H12" s="22"/>
      <c r="I12" s="22"/>
      <c r="J12" s="22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8"/>
      <c r="Y12" s="58"/>
      <c r="Z12" s="58"/>
      <c r="AA12" s="268"/>
    </row>
    <row r="13" spans="2:27" x14ac:dyDescent="0.45">
      <c r="B13" s="43" t="s">
        <v>2</v>
      </c>
      <c r="C13" s="8" t="s">
        <v>3</v>
      </c>
      <c r="D13" s="9">
        <v>0.6</v>
      </c>
      <c r="E13" s="8"/>
      <c r="F13" s="23">
        <v>115.1</v>
      </c>
      <c r="G13" s="23">
        <v>117.9</v>
      </c>
      <c r="H13" s="23">
        <v>120.8</v>
      </c>
      <c r="I13" s="23">
        <v>123.2</v>
      </c>
      <c r="J13" s="23">
        <v>125.3</v>
      </c>
      <c r="K13" s="59">
        <v>127.8</v>
      </c>
      <c r="L13" s="59">
        <v>130.9</v>
      </c>
      <c r="M13" s="59">
        <v>134.9</v>
      </c>
      <c r="N13" s="59">
        <v>134.80000000000001</v>
      </c>
      <c r="O13" s="59">
        <v>137.1</v>
      </c>
      <c r="P13" s="59">
        <v>140.69999999999999</v>
      </c>
      <c r="Q13" s="59">
        <v>144.9</v>
      </c>
      <c r="R13" s="59">
        <v>146.69999999999999</v>
      </c>
      <c r="S13" s="59">
        <v>147.30000000000001</v>
      </c>
      <c r="T13" s="59">
        <v>147.1</v>
      </c>
      <c r="U13" s="59">
        <v>146.4</v>
      </c>
      <c r="V13" s="59">
        <v>148.6</v>
      </c>
      <c r="W13" s="59">
        <v>150.9</v>
      </c>
      <c r="X13" s="85">
        <v>151.19999999999999</v>
      </c>
      <c r="Y13" s="85">
        <f>+ISTAT!G69</f>
        <v>150.80000000000001</v>
      </c>
      <c r="Z13" s="85">
        <f>+ISTAT!G73</f>
        <v>152.80000000000001</v>
      </c>
      <c r="AA13" s="269">
        <f>+ISTAT!F77</f>
        <v>161.5</v>
      </c>
    </row>
    <row r="14" spans="2:27" x14ac:dyDescent="0.45">
      <c r="B14" s="43"/>
      <c r="C14" s="10" t="s">
        <v>4</v>
      </c>
      <c r="D14" s="9"/>
      <c r="E14" s="8"/>
      <c r="F14" s="24"/>
      <c r="G14" s="24"/>
      <c r="H14" s="24"/>
      <c r="I14" s="24"/>
      <c r="J14" s="24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1"/>
      <c r="Y14" s="61"/>
      <c r="Z14" s="61"/>
      <c r="AA14" s="270"/>
    </row>
    <row r="15" spans="2:27" x14ac:dyDescent="0.45">
      <c r="B15" s="39"/>
      <c r="C15" s="6"/>
      <c r="D15" s="11"/>
      <c r="E15" s="6"/>
      <c r="F15" s="25"/>
      <c r="G15" s="25"/>
      <c r="H15" s="25"/>
      <c r="I15" s="25"/>
      <c r="J15" s="25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3"/>
      <c r="Y15" s="63"/>
      <c r="Z15" s="63"/>
      <c r="AA15" s="271"/>
    </row>
    <row r="16" spans="2:27" x14ac:dyDescent="0.45">
      <c r="B16" s="43" t="s">
        <v>5</v>
      </c>
      <c r="C16" s="8" t="s">
        <v>6</v>
      </c>
      <c r="D16" s="9">
        <v>0.1</v>
      </c>
      <c r="E16" s="8"/>
      <c r="F16" s="23">
        <v>42.6</v>
      </c>
      <c r="G16" s="23">
        <v>37.5</v>
      </c>
      <c r="H16" s="23">
        <v>40</v>
      </c>
      <c r="I16" s="23">
        <v>42.2</v>
      </c>
      <c r="J16" s="23">
        <v>44.5</v>
      </c>
      <c r="K16" s="59">
        <v>44.5</v>
      </c>
      <c r="L16" s="59">
        <v>60.7</v>
      </c>
      <c r="M16" s="59">
        <v>73.2</v>
      </c>
      <c r="N16" s="59">
        <v>59.5</v>
      </c>
      <c r="O16" s="59">
        <v>74.7</v>
      </c>
      <c r="P16" s="59">
        <v>67.2</v>
      </c>
      <c r="Q16" s="59">
        <v>65.900000000000006</v>
      </c>
      <c r="R16" s="59">
        <v>79.8</v>
      </c>
      <c r="S16" s="59">
        <v>96.3</v>
      </c>
      <c r="T16" s="59">
        <v>91.8</v>
      </c>
      <c r="U16" s="59">
        <v>67.599999999999994</v>
      </c>
      <c r="V16" s="59">
        <v>51.8</v>
      </c>
      <c r="W16" s="59">
        <v>58.1</v>
      </c>
      <c r="X16" s="85">
        <v>67.8</v>
      </c>
      <c r="Y16" s="85">
        <v>62.6</v>
      </c>
      <c r="Z16" s="85">
        <f>+CEC!L29</f>
        <v>44.8</v>
      </c>
      <c r="AA16" s="269">
        <f>+CEC!C31</f>
        <v>77.3</v>
      </c>
    </row>
    <row r="17" spans="2:27" x14ac:dyDescent="0.45">
      <c r="B17" s="39"/>
      <c r="C17" s="150" t="s">
        <v>7</v>
      </c>
      <c r="D17" s="11"/>
      <c r="E17" s="6"/>
      <c r="F17" s="25"/>
      <c r="G17" s="25"/>
      <c r="H17" s="25"/>
      <c r="I17" s="25"/>
      <c r="J17" s="25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3"/>
      <c r="Y17" s="63"/>
      <c r="Z17" s="63"/>
      <c r="AA17" s="271"/>
    </row>
    <row r="18" spans="2:27" x14ac:dyDescent="0.45">
      <c r="B18" s="39"/>
      <c r="C18" s="6"/>
      <c r="D18" s="11"/>
      <c r="E18" s="6"/>
      <c r="F18" s="25"/>
      <c r="G18" s="25"/>
      <c r="H18" s="25"/>
      <c r="I18" s="25"/>
      <c r="J18" s="25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3"/>
      <c r="Y18" s="63"/>
      <c r="Z18" s="63"/>
      <c r="AA18" s="271"/>
    </row>
    <row r="19" spans="2:27" x14ac:dyDescent="0.45">
      <c r="B19" s="43" t="s">
        <v>8</v>
      </c>
      <c r="C19" s="8" t="s">
        <v>9</v>
      </c>
      <c r="D19" s="9">
        <v>0.3</v>
      </c>
      <c r="E19" s="8"/>
      <c r="F19" s="23">
        <v>17.489999999999998</v>
      </c>
      <c r="G19" s="23">
        <v>18.41</v>
      </c>
      <c r="H19" s="23">
        <v>18.38</v>
      </c>
      <c r="I19" s="23">
        <v>19.71</v>
      </c>
      <c r="J19" s="23">
        <v>19.88</v>
      </c>
      <c r="K19" s="59">
        <v>20.66</v>
      </c>
      <c r="L19" s="59">
        <v>20.87</v>
      </c>
      <c r="M19" s="59">
        <v>21.69</v>
      </c>
      <c r="N19" s="59">
        <v>22.24</v>
      </c>
      <c r="O19" s="59">
        <v>23.1</v>
      </c>
      <c r="P19" s="59">
        <v>23.55</v>
      </c>
      <c r="Q19" s="59">
        <v>23.87</v>
      </c>
      <c r="R19" s="59">
        <v>24.47</v>
      </c>
      <c r="S19" s="59">
        <v>24.74</v>
      </c>
      <c r="T19" s="59">
        <v>24.91</v>
      </c>
      <c r="U19" s="59">
        <v>24.96</v>
      </c>
      <c r="V19" s="59">
        <v>25.2</v>
      </c>
      <c r="W19" s="59">
        <v>25.3</v>
      </c>
      <c r="X19" s="85">
        <v>25.42</v>
      </c>
      <c r="Y19" s="85">
        <f>+Assistal!E14</f>
        <v>25.7</v>
      </c>
      <c r="Z19" s="85">
        <f>+Assistal!E15</f>
        <v>25.78</v>
      </c>
      <c r="AA19" s="269">
        <f>+Assistal!E16</f>
        <v>26.24</v>
      </c>
    </row>
    <row r="20" spans="2:27" ht="14.65" thickBot="1" x14ac:dyDescent="0.5">
      <c r="B20" s="44"/>
      <c r="C20" s="12" t="s">
        <v>10</v>
      </c>
      <c r="D20" s="13"/>
      <c r="E20" s="6"/>
      <c r="F20" s="26"/>
      <c r="G20" s="26"/>
      <c r="H20" s="26"/>
      <c r="I20" s="26"/>
      <c r="J20" s="26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65"/>
      <c r="Z20" s="65"/>
      <c r="AA20" s="272"/>
    </row>
    <row r="21" spans="2:27" x14ac:dyDescent="0.45">
      <c r="B21" s="39"/>
      <c r="C21" s="6"/>
      <c r="D21" s="6"/>
      <c r="E21" s="6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156"/>
      <c r="Y21" s="156"/>
      <c r="Z21" s="156"/>
      <c r="AA21" s="273"/>
    </row>
    <row r="22" spans="2:27" x14ac:dyDescent="0.45">
      <c r="B22" s="39"/>
      <c r="C22" s="309" t="s">
        <v>11</v>
      </c>
      <c r="D22" s="309"/>
      <c r="E22" s="6"/>
      <c r="F22" s="27">
        <v>1</v>
      </c>
      <c r="G22" s="27">
        <f>+ROUND(G13/$F13*$D$13+G16/$F16*$D$16+G19/$F19*$D$19,4)</f>
        <v>1.0184</v>
      </c>
      <c r="H22" s="27">
        <f>+ROUND(H13/$F13*$D$13+H16/$F16*$D$16+H19/$F19*$D$19,4)</f>
        <v>1.0388999999999999</v>
      </c>
      <c r="I22" s="27">
        <f>+ROUND(I13/$F13*$D$13+I16/$F16*$D$16+I19/$F19*$D$19,4)</f>
        <v>1.0793999999999999</v>
      </c>
      <c r="J22" s="27">
        <f>+ROUND(J13/$F13*$D$13+J16/$F16*$D$16+J19/$F19*$D$19,4)</f>
        <v>1.0986</v>
      </c>
      <c r="K22" s="27">
        <f t="shared" ref="K22:S22" si="0">+ROUND(K13/$F13*$D$13+K16/$F16*$D$16+K19/$F19*$D$19,4)</f>
        <v>1.125</v>
      </c>
      <c r="L22" s="27">
        <f t="shared" si="0"/>
        <v>1.1828000000000001</v>
      </c>
      <c r="M22" s="27">
        <f t="shared" si="0"/>
        <v>1.2471000000000001</v>
      </c>
      <c r="N22" s="27">
        <f t="shared" si="0"/>
        <v>1.2238</v>
      </c>
      <c r="O22" s="27">
        <f t="shared" si="0"/>
        <v>1.2863</v>
      </c>
      <c r="P22" s="27">
        <f t="shared" si="0"/>
        <v>1.2950999999999999</v>
      </c>
      <c r="Q22" s="27">
        <f t="shared" si="0"/>
        <v>1.3194999999999999</v>
      </c>
      <c r="R22" s="27">
        <f t="shared" si="0"/>
        <v>1.3717999999999999</v>
      </c>
      <c r="S22" s="27">
        <f t="shared" si="0"/>
        <v>1.4182999999999999</v>
      </c>
      <c r="T22" s="27">
        <f t="shared" ref="T22:AA22" si="1">+ROUND(T13/$F13*$D$13+T16/$F16*$D$16+T19/$F19*$D$19,4)</f>
        <v>1.4096</v>
      </c>
      <c r="U22" s="27">
        <f t="shared" si="1"/>
        <v>1.35</v>
      </c>
      <c r="V22" s="27">
        <f t="shared" si="1"/>
        <v>1.3285</v>
      </c>
      <c r="W22" s="27">
        <f t="shared" si="1"/>
        <v>1.357</v>
      </c>
      <c r="X22" s="157">
        <f t="shared" si="1"/>
        <v>1.3834</v>
      </c>
      <c r="Y22" s="157">
        <f t="shared" si="1"/>
        <v>1.3738999999999999</v>
      </c>
      <c r="Z22" s="157">
        <f t="shared" si="1"/>
        <v>1.3439000000000001</v>
      </c>
      <c r="AA22" s="157">
        <f t="shared" si="1"/>
        <v>1.4734</v>
      </c>
    </row>
    <row r="23" spans="2:27" ht="24" customHeight="1" thickBot="1" x14ac:dyDescent="0.5">
      <c r="B23" s="39"/>
      <c r="C23" s="10"/>
      <c r="D23" s="86" t="s">
        <v>53</v>
      </c>
      <c r="E23" s="10"/>
      <c r="F23" s="10"/>
      <c r="G23" s="87">
        <f t="shared" ref="G23:V23" si="2">+G22/F22-1</f>
        <v>1.8399999999999972E-2</v>
      </c>
      <c r="H23" s="87">
        <f t="shared" si="2"/>
        <v>2.0129615082482344E-2</v>
      </c>
      <c r="I23" s="87">
        <f t="shared" si="2"/>
        <v>3.8983540282991669E-2</v>
      </c>
      <c r="J23" s="87">
        <f t="shared" si="2"/>
        <v>1.7787659811006273E-2</v>
      </c>
      <c r="K23" s="87">
        <f t="shared" si="2"/>
        <v>2.4030584380120068E-2</v>
      </c>
      <c r="L23" s="87">
        <f t="shared" si="2"/>
        <v>5.1377777777777744E-2</v>
      </c>
      <c r="M23" s="87">
        <f t="shared" si="2"/>
        <v>5.4362529590801456E-2</v>
      </c>
      <c r="N23" s="87">
        <f t="shared" si="2"/>
        <v>-1.8683345361238168E-2</v>
      </c>
      <c r="O23" s="87">
        <f t="shared" si="2"/>
        <v>5.1070436345808101E-2</v>
      </c>
      <c r="P23" s="87">
        <f t="shared" si="2"/>
        <v>6.8413278395396127E-3</v>
      </c>
      <c r="Q23" s="87">
        <f t="shared" si="2"/>
        <v>1.8840243996602668E-2</v>
      </c>
      <c r="R23" s="87">
        <f t="shared" si="2"/>
        <v>3.963622584312243E-2</v>
      </c>
      <c r="S23" s="87">
        <f t="shared" si="2"/>
        <v>3.3897069543665337E-2</v>
      </c>
      <c r="T23" s="87">
        <f t="shared" si="2"/>
        <v>-6.1341042092645237E-3</v>
      </c>
      <c r="U23" s="87">
        <f t="shared" si="2"/>
        <v>-4.2281498297389253E-2</v>
      </c>
      <c r="V23" s="87">
        <f t="shared" si="2"/>
        <v>-1.592592592592601E-2</v>
      </c>
      <c r="W23" s="87">
        <f>+W22/V22-1</f>
        <v>2.145276627775683E-2</v>
      </c>
      <c r="X23" s="158">
        <f>+X22/W22-1</f>
        <v>1.9454679439941058E-2</v>
      </c>
      <c r="Y23" s="158">
        <f>+Y22/X22-1</f>
        <v>-6.8671389330635657E-3</v>
      </c>
      <c r="Z23" s="158">
        <f>+Z22/Y22-1</f>
        <v>-2.1835650338452472E-2</v>
      </c>
      <c r="AA23" s="158">
        <f>+AA22/Z22-1</f>
        <v>9.6361336408959053E-2</v>
      </c>
    </row>
    <row r="24" spans="2:27" ht="15.75" thickBot="1" x14ac:dyDescent="0.5">
      <c r="B24" s="46"/>
      <c r="C24" s="14" t="s">
        <v>12</v>
      </c>
      <c r="D24" s="15" t="s">
        <v>23</v>
      </c>
      <c r="E24" s="16"/>
      <c r="F24" s="17">
        <v>91.72</v>
      </c>
      <c r="G24" s="17">
        <f>+G22*$F$24</f>
        <v>93.407647999999995</v>
      </c>
      <c r="H24" s="17">
        <f>+H22*$F$24</f>
        <v>95.287907999999987</v>
      </c>
      <c r="I24" s="17">
        <f>+I22*$F$24</f>
        <v>99.002567999999997</v>
      </c>
      <c r="J24" s="17">
        <f>+J22*$F$24</f>
        <v>100.763592</v>
      </c>
      <c r="K24" s="66">
        <f t="shared" ref="K24:S24" si="3">+K22*$F$24</f>
        <v>103.185</v>
      </c>
      <c r="L24" s="66">
        <f t="shared" si="3"/>
        <v>108.48641600000001</v>
      </c>
      <c r="M24" s="66">
        <f t="shared" si="3"/>
        <v>114.38401200000001</v>
      </c>
      <c r="N24" s="66">
        <f t="shared" si="3"/>
        <v>112.24693600000001</v>
      </c>
      <c r="O24" s="66">
        <f t="shared" si="3"/>
        <v>117.97943599999999</v>
      </c>
      <c r="P24" s="66">
        <f t="shared" si="3"/>
        <v>118.78657199999999</v>
      </c>
      <c r="Q24" s="66">
        <f t="shared" si="3"/>
        <v>121.02453999999999</v>
      </c>
      <c r="R24" s="66">
        <f t="shared" si="3"/>
        <v>125.821496</v>
      </c>
      <c r="S24" s="66">
        <f t="shared" si="3"/>
        <v>130.08647599999998</v>
      </c>
      <c r="T24" s="66">
        <f t="shared" ref="T24:AA24" si="4">+T22*$F$24</f>
        <v>129.288512</v>
      </c>
      <c r="U24" s="66">
        <f t="shared" si="4"/>
        <v>123.822</v>
      </c>
      <c r="V24" s="66">
        <f t="shared" si="4"/>
        <v>121.85002</v>
      </c>
      <c r="W24" s="66">
        <f t="shared" si="4"/>
        <v>124.46404</v>
      </c>
      <c r="X24" s="66">
        <f t="shared" si="4"/>
        <v>126.885448</v>
      </c>
      <c r="Y24" s="66">
        <f t="shared" si="4"/>
        <v>126.01410799999999</v>
      </c>
      <c r="Z24" s="66">
        <f t="shared" si="4"/>
        <v>123.26250800000001</v>
      </c>
      <c r="AA24" s="66">
        <f t="shared" si="4"/>
        <v>135.14024800000001</v>
      </c>
    </row>
    <row r="25" spans="2:27" ht="14.65" thickBot="1" x14ac:dyDescent="0.5">
      <c r="B25" s="39"/>
      <c r="C25" s="6"/>
      <c r="D25" s="47"/>
      <c r="E25" s="6"/>
      <c r="F25" s="50"/>
      <c r="G25" s="50"/>
      <c r="H25" s="50"/>
      <c r="I25" s="50"/>
      <c r="J25" s="50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8"/>
      <c r="Z25" s="68"/>
      <c r="AA25" s="274"/>
    </row>
    <row r="26" spans="2:27" ht="15.75" thickBot="1" x14ac:dyDescent="0.5">
      <c r="B26" s="39"/>
      <c r="C26" s="14" t="s">
        <v>13</v>
      </c>
      <c r="D26" s="15" t="s">
        <v>23</v>
      </c>
      <c r="E26" s="16"/>
      <c r="F26" s="17">
        <v>110.08</v>
      </c>
      <c r="G26" s="17">
        <f>+G22*$F$26</f>
        <v>112.10547199999999</v>
      </c>
      <c r="H26" s="17">
        <f>+H22*$F$26</f>
        <v>114.362112</v>
      </c>
      <c r="I26" s="17">
        <f>+I22*$F$26</f>
        <v>118.82035199999999</v>
      </c>
      <c r="J26" s="17">
        <f>+J22*$F$26</f>
        <v>120.933888</v>
      </c>
      <c r="K26" s="66">
        <f t="shared" ref="K26:S26" si="5">+K22*$F$26</f>
        <v>123.84</v>
      </c>
      <c r="L26" s="66">
        <f t="shared" si="5"/>
        <v>130.20262400000001</v>
      </c>
      <c r="M26" s="66">
        <f t="shared" si="5"/>
        <v>137.28076799999999</v>
      </c>
      <c r="N26" s="66">
        <f t="shared" si="5"/>
        <v>134.71590399999999</v>
      </c>
      <c r="O26" s="66">
        <f t="shared" si="5"/>
        <v>141.59590399999999</v>
      </c>
      <c r="P26" s="66">
        <f t="shared" si="5"/>
        <v>142.56460799999999</v>
      </c>
      <c r="Q26" s="66">
        <f t="shared" si="5"/>
        <v>145.25055999999998</v>
      </c>
      <c r="R26" s="66">
        <f t="shared" si="5"/>
        <v>151.00774399999997</v>
      </c>
      <c r="S26" s="66">
        <f t="shared" si="5"/>
        <v>156.126464</v>
      </c>
      <c r="T26" s="66">
        <f t="shared" ref="T26:AA26" si="6">+T22*$F$26</f>
        <v>155.168768</v>
      </c>
      <c r="U26" s="66">
        <f t="shared" si="6"/>
        <v>148.608</v>
      </c>
      <c r="V26" s="66">
        <f t="shared" si="6"/>
        <v>146.24127999999999</v>
      </c>
      <c r="W26" s="66">
        <f t="shared" si="6"/>
        <v>149.37855999999999</v>
      </c>
      <c r="X26" s="66">
        <f t="shared" si="6"/>
        <v>152.284672</v>
      </c>
      <c r="Y26" s="66">
        <f t="shared" si="6"/>
        <v>151.238912</v>
      </c>
      <c r="Z26" s="66">
        <f t="shared" si="6"/>
        <v>147.93651200000002</v>
      </c>
      <c r="AA26" s="66">
        <f t="shared" si="6"/>
        <v>162.19187199999999</v>
      </c>
    </row>
    <row r="27" spans="2:27" ht="14.65" thickBot="1" x14ac:dyDescent="0.5">
      <c r="B27" s="39"/>
      <c r="C27" s="10"/>
      <c r="D27" s="48"/>
      <c r="E27" s="10"/>
      <c r="F27" s="50"/>
      <c r="G27" s="50"/>
      <c r="H27" s="50"/>
      <c r="I27" s="50"/>
      <c r="J27" s="50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8"/>
      <c r="Z27" s="68"/>
      <c r="AA27" s="274"/>
    </row>
    <row r="28" spans="2:27" ht="15.75" thickBot="1" x14ac:dyDescent="0.5">
      <c r="B28" s="39"/>
      <c r="C28" s="14" t="s">
        <v>14</v>
      </c>
      <c r="D28" s="15" t="s">
        <v>24</v>
      </c>
      <c r="E28" s="16"/>
      <c r="F28" s="17">
        <v>10</v>
      </c>
      <c r="G28" s="17">
        <f>+G22*$F$28</f>
        <v>10.183999999999999</v>
      </c>
      <c r="H28" s="17">
        <f>+H22*$F$28</f>
        <v>10.388999999999999</v>
      </c>
      <c r="I28" s="17">
        <f>+I22*$F$28</f>
        <v>10.793999999999999</v>
      </c>
      <c r="J28" s="17">
        <f>+J22*$F$28</f>
        <v>10.986000000000001</v>
      </c>
      <c r="K28" s="66">
        <f t="shared" ref="K28:S28" si="7">+K22*$F$28</f>
        <v>11.25</v>
      </c>
      <c r="L28" s="66">
        <f t="shared" si="7"/>
        <v>11.828000000000001</v>
      </c>
      <c r="M28" s="66">
        <f t="shared" si="7"/>
        <v>12.471</v>
      </c>
      <c r="N28" s="66">
        <f t="shared" si="7"/>
        <v>12.238</v>
      </c>
      <c r="O28" s="66">
        <f t="shared" si="7"/>
        <v>12.863</v>
      </c>
      <c r="P28" s="66">
        <f t="shared" si="7"/>
        <v>12.950999999999999</v>
      </c>
      <c r="Q28" s="66">
        <f t="shared" si="7"/>
        <v>13.194999999999999</v>
      </c>
      <c r="R28" s="66">
        <f t="shared" si="7"/>
        <v>13.718</v>
      </c>
      <c r="S28" s="66">
        <f t="shared" si="7"/>
        <v>14.183</v>
      </c>
      <c r="T28" s="66">
        <f t="shared" ref="T28:AA28" si="8">+T22*$F$28</f>
        <v>14.096</v>
      </c>
      <c r="U28" s="66">
        <f t="shared" si="8"/>
        <v>13.5</v>
      </c>
      <c r="V28" s="66">
        <f t="shared" si="8"/>
        <v>13.285</v>
      </c>
      <c r="W28" s="66">
        <f t="shared" si="8"/>
        <v>13.57</v>
      </c>
      <c r="X28" s="66">
        <f t="shared" si="8"/>
        <v>13.834</v>
      </c>
      <c r="Y28" s="66">
        <f t="shared" si="8"/>
        <v>13.738999999999999</v>
      </c>
      <c r="Z28" s="66">
        <f t="shared" si="8"/>
        <v>13.439</v>
      </c>
      <c r="AA28" s="66">
        <f t="shared" si="8"/>
        <v>14.734</v>
      </c>
    </row>
    <row r="29" spans="2:27" x14ac:dyDescent="0.45">
      <c r="B29" s="49"/>
      <c r="C29" s="50"/>
      <c r="D29" s="50"/>
      <c r="E29" s="50"/>
      <c r="F29" s="50"/>
      <c r="G29" s="50"/>
      <c r="H29" s="50"/>
      <c r="I29" s="50"/>
      <c r="J29" s="50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8"/>
      <c r="Z29" s="68"/>
      <c r="AA29" s="274"/>
    </row>
    <row r="30" spans="2:27" ht="14.65" thickBot="1" x14ac:dyDescent="0.5">
      <c r="B30" s="39"/>
      <c r="C30" s="6"/>
      <c r="D30" s="6"/>
      <c r="E30" s="6"/>
      <c r="F30" s="6"/>
      <c r="G30" s="6"/>
      <c r="H30" s="6"/>
      <c r="I30" s="6"/>
      <c r="J30" s="6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70"/>
      <c r="Y30" s="70"/>
      <c r="Z30" s="70"/>
      <c r="AA30" s="275"/>
    </row>
    <row r="31" spans="2:27" ht="15.75" thickBot="1" x14ac:dyDescent="0.5">
      <c r="B31" s="39"/>
      <c r="C31" s="18" t="s">
        <v>15</v>
      </c>
      <c r="D31" s="15" t="s">
        <v>23</v>
      </c>
      <c r="E31" s="6"/>
      <c r="F31" s="17">
        <v>25.82</v>
      </c>
      <c r="G31" s="17">
        <v>25.82</v>
      </c>
      <c r="H31" s="17">
        <v>25.82</v>
      </c>
      <c r="I31" s="17">
        <v>25.82</v>
      </c>
      <c r="J31" s="17">
        <v>25.82</v>
      </c>
      <c r="K31" s="71">
        <v>25.82</v>
      </c>
      <c r="L31" s="71">
        <v>25.82</v>
      </c>
      <c r="M31" s="71">
        <v>25.82</v>
      </c>
      <c r="N31" s="71">
        <v>25.82</v>
      </c>
      <c r="O31" s="71">
        <v>25.82</v>
      </c>
      <c r="P31" s="71">
        <v>25.82</v>
      </c>
      <c r="Q31" s="71">
        <v>25.82</v>
      </c>
      <c r="R31" s="71">
        <v>25.82</v>
      </c>
      <c r="S31" s="71">
        <f>IF(S22&gt;0,R31*0.85,0)</f>
        <v>21.946999999999999</v>
      </c>
      <c r="T31" s="71">
        <f t="shared" ref="T31:AA31" si="9">+S31</f>
        <v>21.946999999999999</v>
      </c>
      <c r="U31" s="71">
        <f t="shared" si="9"/>
        <v>21.946999999999999</v>
      </c>
      <c r="V31" s="71">
        <f t="shared" si="9"/>
        <v>21.946999999999999</v>
      </c>
      <c r="W31" s="71">
        <f t="shared" si="9"/>
        <v>21.946999999999999</v>
      </c>
      <c r="X31" s="72">
        <f t="shared" si="9"/>
        <v>21.946999999999999</v>
      </c>
      <c r="Y31" s="72">
        <f t="shared" si="9"/>
        <v>21.946999999999999</v>
      </c>
      <c r="Z31" s="72">
        <f t="shared" si="9"/>
        <v>21.946999999999999</v>
      </c>
      <c r="AA31" s="72">
        <f t="shared" si="9"/>
        <v>21.946999999999999</v>
      </c>
    </row>
    <row r="32" spans="2:27" ht="14.65" thickBot="1" x14ac:dyDescent="0.5">
      <c r="B32" s="49"/>
      <c r="C32" s="51"/>
      <c r="D32" s="51"/>
      <c r="E32" s="6"/>
      <c r="F32" s="52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158"/>
      <c r="Y32" s="158"/>
      <c r="Z32" s="158"/>
      <c r="AA32" s="158"/>
    </row>
    <row r="33" spans="2:27" ht="15.75" thickBot="1" x14ac:dyDescent="0.5">
      <c r="B33" s="49"/>
      <c r="C33" s="14" t="s">
        <v>16</v>
      </c>
      <c r="D33" s="15" t="s">
        <v>23</v>
      </c>
      <c r="E33" s="6"/>
      <c r="F33" s="17">
        <f t="shared" ref="F33:S33" si="10">+ROUND(F24*1.1-F31,2)</f>
        <v>75.069999999999993</v>
      </c>
      <c r="G33" s="17">
        <f t="shared" si="10"/>
        <v>76.930000000000007</v>
      </c>
      <c r="H33" s="17">
        <f t="shared" si="10"/>
        <v>79</v>
      </c>
      <c r="I33" s="17">
        <f t="shared" si="10"/>
        <v>83.08</v>
      </c>
      <c r="J33" s="17">
        <f t="shared" si="10"/>
        <v>85.02</v>
      </c>
      <c r="K33" s="20">
        <f t="shared" si="10"/>
        <v>87.68</v>
      </c>
      <c r="L33" s="20">
        <f t="shared" si="10"/>
        <v>93.52</v>
      </c>
      <c r="M33" s="20">
        <f t="shared" si="10"/>
        <v>100</v>
      </c>
      <c r="N33" s="20">
        <f t="shared" si="10"/>
        <v>97.65</v>
      </c>
      <c r="O33" s="20">
        <f t="shared" si="10"/>
        <v>103.96</v>
      </c>
      <c r="P33" s="20">
        <f t="shared" si="10"/>
        <v>104.85</v>
      </c>
      <c r="Q33" s="20">
        <f t="shared" si="10"/>
        <v>107.31</v>
      </c>
      <c r="R33" s="20">
        <f t="shared" si="10"/>
        <v>112.58</v>
      </c>
      <c r="S33" s="20">
        <f t="shared" si="10"/>
        <v>121.15</v>
      </c>
      <c r="T33" s="20">
        <f t="shared" ref="T33:Y33" si="11">+ROUND(T24*1.1-T31,2)</f>
        <v>120.27</v>
      </c>
      <c r="U33" s="20">
        <f t="shared" si="11"/>
        <v>114.26</v>
      </c>
      <c r="V33" s="20">
        <f t="shared" si="11"/>
        <v>112.09</v>
      </c>
      <c r="W33" s="20">
        <f t="shared" si="11"/>
        <v>114.96</v>
      </c>
      <c r="X33" s="72">
        <f t="shared" si="11"/>
        <v>117.63</v>
      </c>
      <c r="Y33" s="72">
        <f t="shared" si="11"/>
        <v>116.67</v>
      </c>
      <c r="Z33" s="72">
        <f t="shared" ref="Z33:AA33" si="12">+ROUND(Z24*1.1-Z31,2)</f>
        <v>113.64</v>
      </c>
      <c r="AA33" s="72">
        <f t="shared" si="12"/>
        <v>126.71</v>
      </c>
    </row>
    <row r="34" spans="2:27" ht="14.65" thickBot="1" x14ac:dyDescent="0.5">
      <c r="B34" s="49"/>
      <c r="C34" s="6"/>
      <c r="D34" s="47"/>
      <c r="E34" s="6"/>
      <c r="F34" s="52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158"/>
      <c r="Y34" s="158"/>
      <c r="Z34" s="158"/>
      <c r="AA34" s="158"/>
    </row>
    <row r="35" spans="2:27" ht="15.75" thickBot="1" x14ac:dyDescent="0.5">
      <c r="B35" s="49"/>
      <c r="C35" s="14" t="s">
        <v>17</v>
      </c>
      <c r="D35" s="15" t="s">
        <v>23</v>
      </c>
      <c r="E35" s="6"/>
      <c r="F35" s="17">
        <f>+ROUND(F26*1.1-F31,2)</f>
        <v>95.27</v>
      </c>
      <c r="G35" s="17">
        <f>+ROUND(G26*1.1-G31,2)</f>
        <v>97.5</v>
      </c>
      <c r="H35" s="17">
        <f>+ROUND(H26*1.1-H31,2)</f>
        <v>99.98</v>
      </c>
      <c r="I35" s="17">
        <f>+ROUND(I26*1.1-I31,2)</f>
        <v>104.88</v>
      </c>
      <c r="J35" s="17">
        <f>+ROUND(J26*1.1-J31,2)</f>
        <v>107.21</v>
      </c>
      <c r="K35" s="20">
        <f t="shared" ref="K35:S35" si="13">+ROUND(K26*1.1-K31,2)</f>
        <v>110.4</v>
      </c>
      <c r="L35" s="20">
        <f t="shared" si="13"/>
        <v>117.4</v>
      </c>
      <c r="M35" s="20">
        <f t="shared" si="13"/>
        <v>125.19</v>
      </c>
      <c r="N35" s="20">
        <f t="shared" si="13"/>
        <v>122.37</v>
      </c>
      <c r="O35" s="20">
        <f t="shared" si="13"/>
        <v>129.94</v>
      </c>
      <c r="P35" s="20">
        <f t="shared" si="13"/>
        <v>131</v>
      </c>
      <c r="Q35" s="20">
        <f t="shared" si="13"/>
        <v>133.96</v>
      </c>
      <c r="R35" s="20">
        <f t="shared" si="13"/>
        <v>140.29</v>
      </c>
      <c r="S35" s="20">
        <f t="shared" si="13"/>
        <v>149.79</v>
      </c>
      <c r="T35" s="20">
        <f t="shared" ref="T35:Y35" si="14">+ROUND(T26*1.1-T31,2)</f>
        <v>148.74</v>
      </c>
      <c r="U35" s="20">
        <f t="shared" si="14"/>
        <v>141.52000000000001</v>
      </c>
      <c r="V35" s="20">
        <f t="shared" si="14"/>
        <v>138.91999999999999</v>
      </c>
      <c r="W35" s="20">
        <f t="shared" si="14"/>
        <v>142.37</v>
      </c>
      <c r="X35" s="66">
        <f t="shared" si="14"/>
        <v>145.57</v>
      </c>
      <c r="Y35" s="66">
        <f t="shared" si="14"/>
        <v>144.41999999999999</v>
      </c>
      <c r="Z35" s="66">
        <f t="shared" ref="Z35:AA35" si="15">+ROUND(Z26*1.1-Z31,2)</f>
        <v>140.78</v>
      </c>
      <c r="AA35" s="66">
        <f t="shared" si="15"/>
        <v>156.46</v>
      </c>
    </row>
    <row r="36" spans="2:27" ht="14.65" thickBot="1" x14ac:dyDescent="0.5">
      <c r="B36" s="49"/>
      <c r="C36" s="6"/>
      <c r="D36" s="6"/>
      <c r="E36" s="6"/>
      <c r="F36" s="52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158"/>
      <c r="Y36" s="158"/>
      <c r="Z36" s="158"/>
      <c r="AA36" s="158"/>
    </row>
    <row r="37" spans="2:27" ht="15.75" thickBot="1" x14ac:dyDescent="0.5">
      <c r="B37" s="49"/>
      <c r="C37" s="19" t="s">
        <v>18</v>
      </c>
      <c r="D37" s="15" t="s">
        <v>24</v>
      </c>
      <c r="E37" s="6"/>
      <c r="F37" s="17">
        <v>20.658275963579459</v>
      </c>
      <c r="G37" s="17">
        <v>20.658275963579459</v>
      </c>
      <c r="H37" s="17">
        <v>20.658275963579459</v>
      </c>
      <c r="I37" s="17">
        <v>20.658275963579459</v>
      </c>
      <c r="J37" s="17">
        <v>20.658275963579459</v>
      </c>
      <c r="K37" s="71">
        <v>20.658275963579459</v>
      </c>
      <c r="L37" s="71">
        <v>20.658275963579459</v>
      </c>
      <c r="M37" s="71">
        <v>20.66</v>
      </c>
      <c r="N37" s="71">
        <v>20.66</v>
      </c>
      <c r="O37" s="71">
        <v>20.66</v>
      </c>
      <c r="P37" s="71">
        <v>20.66</v>
      </c>
      <c r="Q37" s="71">
        <v>20.66</v>
      </c>
      <c r="R37" s="71">
        <v>20.66</v>
      </c>
      <c r="S37" s="71">
        <v>20.66</v>
      </c>
      <c r="T37" s="71">
        <v>20.66</v>
      </c>
      <c r="U37" s="71">
        <v>20.66</v>
      </c>
      <c r="V37" s="71">
        <v>20.66</v>
      </c>
      <c r="W37" s="71">
        <v>20.66</v>
      </c>
      <c r="X37" s="72">
        <v>20.66</v>
      </c>
      <c r="Y37" s="72">
        <v>20.66</v>
      </c>
      <c r="Z37" s="72">
        <v>20.66</v>
      </c>
      <c r="AA37" s="72">
        <v>20.66</v>
      </c>
    </row>
    <row r="38" spans="2:27" x14ac:dyDescent="0.45">
      <c r="B38" s="49"/>
      <c r="C38" s="6"/>
      <c r="D38" s="6"/>
      <c r="E38" s="6"/>
      <c r="F38" s="6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158"/>
    </row>
    <row r="39" spans="2:27" ht="15.4" x14ac:dyDescent="0.45">
      <c r="B39" s="49"/>
      <c r="C39" s="53" t="s">
        <v>19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52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40"/>
    </row>
    <row r="40" spans="2:27" ht="15" customHeight="1" x14ac:dyDescent="0.45">
      <c r="B40" s="49"/>
      <c r="C40" s="77" t="s">
        <v>20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4"/>
    </row>
    <row r="41" spans="2:27" ht="15.75" customHeight="1" thickBot="1" x14ac:dyDescent="0.5">
      <c r="B41" s="54"/>
      <c r="C41" s="78" t="s">
        <v>21</v>
      </c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6"/>
    </row>
    <row r="42" spans="2:27" ht="14.65" thickTop="1" x14ac:dyDescent="0.45"/>
  </sheetData>
  <mergeCells count="1">
    <mergeCell ref="C22:D22"/>
  </mergeCells>
  <pageMargins left="0.11811023622047245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37"/>
  <sheetViews>
    <sheetView showGridLines="0" tabSelected="1" zoomScaleNormal="100" workbookViewId="0">
      <selection activeCell="N28" sqref="N28"/>
    </sheetView>
  </sheetViews>
  <sheetFormatPr defaultColWidth="9.1328125" defaultRowHeight="12.75" x14ac:dyDescent="0.35"/>
  <cols>
    <col min="1" max="1" width="3.265625" style="118" customWidth="1"/>
    <col min="2" max="2" width="5.265625" style="118" customWidth="1"/>
    <col min="3" max="3" width="48.59765625" style="118" customWidth="1"/>
    <col min="4" max="4" width="13" style="118" customWidth="1"/>
    <col min="5" max="5" width="2.1328125" style="118" customWidth="1"/>
    <col min="6" max="6" width="13.1328125" style="118" customWidth="1"/>
    <col min="7" max="7" width="12.86328125" style="118" customWidth="1"/>
    <col min="8" max="8" width="12.1328125" style="118" customWidth="1"/>
    <col min="9" max="9" width="12.86328125" style="118" customWidth="1"/>
    <col min="10" max="11" width="12.265625" style="118" customWidth="1"/>
    <col min="12" max="13" width="11.59765625" style="118" customWidth="1"/>
    <col min="14" max="14" width="10.46484375" style="118" bestFit="1" customWidth="1"/>
    <col min="15" max="15" width="9.19921875" style="118" bestFit="1" customWidth="1"/>
    <col min="16" max="16" width="10" style="118" bestFit="1" customWidth="1"/>
    <col min="17" max="17" width="12.53125" style="118" bestFit="1" customWidth="1"/>
    <col min="18" max="16384" width="9.1328125" style="118"/>
  </cols>
  <sheetData>
    <row r="1" spans="2:14" x14ac:dyDescent="0.35"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2:14" ht="13.15" thickBot="1" x14ac:dyDescent="0.4"/>
    <row r="3" spans="2:14" ht="13.15" thickTop="1" x14ac:dyDescent="0.35">
      <c r="B3" s="119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295"/>
    </row>
    <row r="4" spans="2:14" s="121" customFormat="1" x14ac:dyDescent="0.35">
      <c r="B4" s="106"/>
      <c r="C4" s="107"/>
      <c r="D4" s="107"/>
      <c r="E4" s="107"/>
      <c r="F4" s="107"/>
      <c r="G4" s="107"/>
      <c r="H4" s="107"/>
      <c r="I4" s="89"/>
      <c r="M4" s="90" t="s">
        <v>222</v>
      </c>
      <c r="N4" s="307">
        <v>44743</v>
      </c>
    </row>
    <row r="5" spans="2:14" s="121" customFormat="1" x14ac:dyDescent="0.35"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290"/>
    </row>
    <row r="6" spans="2:14" s="121" customFormat="1" x14ac:dyDescent="0.35"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290"/>
    </row>
    <row r="7" spans="2:14" s="121" customFormat="1" x14ac:dyDescent="0.35"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290"/>
    </row>
    <row r="8" spans="2:14" s="121" customFormat="1" x14ac:dyDescent="0.35"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290"/>
    </row>
    <row r="9" spans="2:14" ht="13.15" x14ac:dyDescent="0.4">
      <c r="B9" s="108"/>
      <c r="C9" s="36" t="s">
        <v>44</v>
      </c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296"/>
    </row>
    <row r="10" spans="2:14" ht="13.15" thickBot="1" x14ac:dyDescent="0.4">
      <c r="B10" s="1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97"/>
    </row>
    <row r="11" spans="2:14" ht="13.5" thickBot="1" x14ac:dyDescent="0.45">
      <c r="B11" s="122"/>
      <c r="C11" s="123" t="s">
        <v>0</v>
      </c>
      <c r="D11" s="124" t="s">
        <v>1</v>
      </c>
      <c r="E11" s="80"/>
      <c r="F11" s="125">
        <v>41821</v>
      </c>
      <c r="G11" s="126">
        <v>42186</v>
      </c>
      <c r="H11" s="126">
        <v>42552</v>
      </c>
      <c r="I11" s="126">
        <v>42917</v>
      </c>
      <c r="J11" s="126">
        <v>43282</v>
      </c>
      <c r="K11" s="277">
        <v>43647</v>
      </c>
      <c r="L11" s="277">
        <v>44013</v>
      </c>
      <c r="M11" s="277">
        <v>44378</v>
      </c>
      <c r="N11" s="127">
        <v>44743</v>
      </c>
    </row>
    <row r="12" spans="2:14" x14ac:dyDescent="0.35">
      <c r="B12" s="110"/>
      <c r="C12" s="10"/>
      <c r="D12" s="111"/>
      <c r="E12" s="10"/>
      <c r="F12" s="112"/>
      <c r="G12" s="113"/>
      <c r="H12" s="113"/>
      <c r="I12" s="113"/>
      <c r="J12" s="113"/>
      <c r="K12" s="278"/>
      <c r="L12" s="278"/>
      <c r="M12" s="278"/>
      <c r="N12" s="114"/>
    </row>
    <row r="13" spans="2:14" ht="13.15" x14ac:dyDescent="0.4">
      <c r="B13" s="43" t="s">
        <v>2</v>
      </c>
      <c r="C13" s="8" t="s">
        <v>52</v>
      </c>
      <c r="D13" s="9">
        <v>1</v>
      </c>
      <c r="E13" s="8"/>
      <c r="F13" s="128">
        <v>107.4</v>
      </c>
      <c r="G13" s="129">
        <v>107.5</v>
      </c>
      <c r="H13" s="129">
        <v>107.2</v>
      </c>
      <c r="I13" s="129">
        <v>108.2</v>
      </c>
      <c r="J13" s="129">
        <v>109.9</v>
      </c>
      <c r="K13" s="279">
        <v>110.2</v>
      </c>
      <c r="L13" s="279">
        <f>+ISTAT!I68</f>
        <v>109.8</v>
      </c>
      <c r="M13" s="279">
        <f>ISTAT!I72</f>
        <v>111.8</v>
      </c>
      <c r="N13" s="264">
        <f>+ISTAT!I76</f>
        <v>120.3</v>
      </c>
    </row>
    <row r="14" spans="2:14" ht="13.15" x14ac:dyDescent="0.4">
      <c r="B14" s="43"/>
      <c r="C14" s="10" t="s">
        <v>4</v>
      </c>
      <c r="D14" s="9"/>
      <c r="E14" s="8"/>
      <c r="F14" s="130"/>
      <c r="G14" s="131"/>
      <c r="H14" s="131"/>
      <c r="I14" s="131"/>
      <c r="J14" s="131"/>
      <c r="K14" s="280"/>
      <c r="L14" s="280"/>
      <c r="M14" s="280"/>
      <c r="N14" s="265"/>
    </row>
    <row r="15" spans="2:14" ht="13.15" thickBot="1" x14ac:dyDescent="0.4">
      <c r="B15" s="115"/>
      <c r="C15" s="116"/>
      <c r="D15" s="117"/>
      <c r="E15" s="10"/>
      <c r="F15" s="132"/>
      <c r="G15" s="133"/>
      <c r="H15" s="133"/>
      <c r="I15" s="133"/>
      <c r="J15" s="133"/>
      <c r="K15" s="281"/>
      <c r="L15" s="281"/>
      <c r="M15" s="281"/>
      <c r="N15" s="266"/>
    </row>
    <row r="16" spans="2:14" x14ac:dyDescent="0.35">
      <c r="B16" s="110"/>
      <c r="C16" s="10"/>
      <c r="D16" s="10"/>
      <c r="E16" s="10"/>
      <c r="F16" s="79"/>
      <c r="G16" s="79"/>
      <c r="H16" s="79"/>
      <c r="I16" s="79"/>
      <c r="J16" s="79"/>
      <c r="K16" s="284"/>
      <c r="L16" s="284"/>
      <c r="M16" s="284"/>
      <c r="N16" s="300"/>
    </row>
    <row r="17" spans="2:22" ht="13.15" x14ac:dyDescent="0.4">
      <c r="B17" s="110"/>
      <c r="C17" s="309" t="s">
        <v>11</v>
      </c>
      <c r="D17" s="309"/>
      <c r="E17" s="10"/>
      <c r="F17" s="88">
        <f t="shared" ref="F17:L17" si="0">+ROUND(F13/$F$13,3)</f>
        <v>1</v>
      </c>
      <c r="G17" s="88">
        <f t="shared" si="0"/>
        <v>1.0009999999999999</v>
      </c>
      <c r="H17" s="88">
        <f t="shared" si="0"/>
        <v>0.998</v>
      </c>
      <c r="I17" s="88">
        <f t="shared" si="0"/>
        <v>1.0069999999999999</v>
      </c>
      <c r="J17" s="88">
        <f t="shared" si="0"/>
        <v>1.0229999999999999</v>
      </c>
      <c r="K17" s="282">
        <f t="shared" si="0"/>
        <v>1.026</v>
      </c>
      <c r="L17" s="282">
        <f t="shared" si="0"/>
        <v>1.022</v>
      </c>
      <c r="M17" s="282">
        <f t="shared" ref="M17:N17" si="1">+ROUND(M13/$F$13,3)</f>
        <v>1.0409999999999999</v>
      </c>
      <c r="N17" s="301">
        <f t="shared" si="1"/>
        <v>1.1200000000000001</v>
      </c>
    </row>
    <row r="18" spans="2:22" ht="15" customHeight="1" x14ac:dyDescent="0.35">
      <c r="B18" s="110"/>
      <c r="C18" s="10"/>
      <c r="D18" s="86" t="s">
        <v>53</v>
      </c>
      <c r="E18" s="10"/>
      <c r="F18" s="10"/>
      <c r="G18" s="87">
        <f t="shared" ref="G18:N18" si="2">+G17/F17-1</f>
        <v>9.9999999999988987E-4</v>
      </c>
      <c r="H18" s="87">
        <f t="shared" si="2"/>
        <v>-2.9970029970028955E-3</v>
      </c>
      <c r="I18" s="87">
        <f t="shared" si="2"/>
        <v>9.0180360721441311E-3</v>
      </c>
      <c r="J18" s="87">
        <f t="shared" si="2"/>
        <v>1.5888778550148919E-2</v>
      </c>
      <c r="K18" s="285">
        <f t="shared" si="2"/>
        <v>2.9325513196483133E-3</v>
      </c>
      <c r="L18" s="285">
        <f t="shared" si="2"/>
        <v>-3.8986354775828458E-3</v>
      </c>
      <c r="M18" s="285">
        <f t="shared" si="2"/>
        <v>1.8590998043052753E-2</v>
      </c>
      <c r="N18" s="302">
        <f t="shared" si="2"/>
        <v>7.588856868395788E-2</v>
      </c>
    </row>
    <row r="19" spans="2:22" ht="15" customHeight="1" thickBot="1" x14ac:dyDescent="0.4">
      <c r="B19" s="110"/>
      <c r="C19" s="10"/>
      <c r="D19" s="86" t="s">
        <v>258</v>
      </c>
      <c r="E19" s="10"/>
      <c r="F19" s="10"/>
      <c r="G19" s="87">
        <f t="shared" ref="G19:L19" si="3">+G17/$F$17-1</f>
        <v>9.9999999999988987E-4</v>
      </c>
      <c r="H19" s="87">
        <f t="shared" si="3"/>
        <v>-2.0000000000000018E-3</v>
      </c>
      <c r="I19" s="87">
        <f t="shared" si="3"/>
        <v>6.9999999999998952E-3</v>
      </c>
      <c r="J19" s="87">
        <f t="shared" si="3"/>
        <v>2.2999999999999909E-2</v>
      </c>
      <c r="K19" s="286">
        <f t="shared" si="3"/>
        <v>2.6000000000000023E-2</v>
      </c>
      <c r="L19" s="286">
        <f t="shared" si="3"/>
        <v>2.200000000000002E-2</v>
      </c>
      <c r="M19" s="286">
        <f t="shared" ref="M19:N19" si="4">+M17/$F$17-1</f>
        <v>4.0999999999999925E-2</v>
      </c>
      <c r="N19" s="303">
        <f t="shared" si="4"/>
        <v>0.12000000000000011</v>
      </c>
    </row>
    <row r="20" spans="2:22" ht="18" customHeight="1" thickBot="1" x14ac:dyDescent="0.45">
      <c r="B20" s="110"/>
      <c r="C20" s="14" t="s">
        <v>45</v>
      </c>
      <c r="D20" s="15" t="s">
        <v>23</v>
      </c>
      <c r="E20" s="134"/>
      <c r="F20" s="135">
        <v>22.5</v>
      </c>
      <c r="G20" s="136">
        <f t="shared" ref="G20:L20" si="5">+ROUND(G17*$F$20,2)</f>
        <v>22.52</v>
      </c>
      <c r="H20" s="136">
        <f t="shared" si="5"/>
        <v>22.46</v>
      </c>
      <c r="I20" s="136">
        <f t="shared" si="5"/>
        <v>22.66</v>
      </c>
      <c r="J20" s="136">
        <f t="shared" si="5"/>
        <v>23.02</v>
      </c>
      <c r="K20" s="287">
        <f t="shared" si="5"/>
        <v>23.09</v>
      </c>
      <c r="L20" s="287">
        <f t="shared" si="5"/>
        <v>23</v>
      </c>
      <c r="M20" s="287">
        <f t="shared" ref="M20:N20" si="6">+ROUND(M17*$F$20,2)</f>
        <v>23.42</v>
      </c>
      <c r="N20" s="304">
        <f t="shared" si="6"/>
        <v>25.2</v>
      </c>
      <c r="O20" s="298"/>
      <c r="P20" s="298"/>
      <c r="Q20" s="298"/>
      <c r="S20" s="299"/>
      <c r="V20" s="299"/>
    </row>
    <row r="21" spans="2:22" ht="6.75" customHeight="1" thickBot="1" x14ac:dyDescent="0.4">
      <c r="B21" s="110"/>
      <c r="K21" s="288"/>
      <c r="L21" s="288"/>
      <c r="M21" s="288"/>
      <c r="N21" s="305"/>
    </row>
    <row r="22" spans="2:22" ht="18" customHeight="1" thickBot="1" x14ac:dyDescent="0.45">
      <c r="B22" s="110"/>
      <c r="C22" s="14" t="s">
        <v>46</v>
      </c>
      <c r="D22" s="15" t="s">
        <v>49</v>
      </c>
      <c r="E22" s="134"/>
      <c r="F22" s="135">
        <v>4.68</v>
      </c>
      <c r="G22" s="136">
        <f t="shared" ref="G22:L22" si="7">+ROUND(G17*$F$22,2)</f>
        <v>4.68</v>
      </c>
      <c r="H22" s="136">
        <f t="shared" si="7"/>
        <v>4.67</v>
      </c>
      <c r="I22" s="136">
        <f t="shared" si="7"/>
        <v>4.71</v>
      </c>
      <c r="J22" s="136">
        <f t="shared" si="7"/>
        <v>4.79</v>
      </c>
      <c r="K22" s="287">
        <f t="shared" si="7"/>
        <v>4.8</v>
      </c>
      <c r="L22" s="287">
        <f t="shared" si="7"/>
        <v>4.78</v>
      </c>
      <c r="M22" s="287">
        <f t="shared" ref="M22:N22" si="8">+ROUND(M17*$F$22,2)</f>
        <v>4.87</v>
      </c>
      <c r="N22" s="304">
        <f t="shared" si="8"/>
        <v>5.24</v>
      </c>
    </row>
    <row r="23" spans="2:22" ht="6.75" customHeight="1" thickBot="1" x14ac:dyDescent="0.4">
      <c r="B23" s="110"/>
      <c r="K23" s="288"/>
      <c r="L23" s="288"/>
      <c r="M23" s="288"/>
      <c r="N23" s="305"/>
    </row>
    <row r="24" spans="2:22" ht="18" customHeight="1" thickBot="1" x14ac:dyDescent="0.45">
      <c r="B24" s="110"/>
      <c r="C24" s="14" t="s">
        <v>47</v>
      </c>
      <c r="D24" s="15" t="s">
        <v>23</v>
      </c>
      <c r="E24" s="134"/>
      <c r="F24" s="135">
        <v>122.5</v>
      </c>
      <c r="G24" s="136">
        <f t="shared" ref="G24:L24" si="9">+ROUND(G17*$F$24,2)</f>
        <v>122.62</v>
      </c>
      <c r="H24" s="136">
        <f t="shared" si="9"/>
        <v>122.26</v>
      </c>
      <c r="I24" s="136">
        <f t="shared" si="9"/>
        <v>123.36</v>
      </c>
      <c r="J24" s="136">
        <f t="shared" si="9"/>
        <v>125.32</v>
      </c>
      <c r="K24" s="287">
        <f t="shared" si="9"/>
        <v>125.69</v>
      </c>
      <c r="L24" s="287">
        <f t="shared" si="9"/>
        <v>125.2</v>
      </c>
      <c r="M24" s="287">
        <f t="shared" ref="M24:N24" si="10">+ROUND(M17*$F$24,2)</f>
        <v>127.52</v>
      </c>
      <c r="N24" s="304">
        <f t="shared" si="10"/>
        <v>137.19999999999999</v>
      </c>
    </row>
    <row r="25" spans="2:22" ht="6.75" customHeight="1" thickBot="1" x14ac:dyDescent="0.4">
      <c r="B25" s="110"/>
      <c r="K25" s="288"/>
      <c r="L25" s="288"/>
      <c r="M25" s="288"/>
      <c r="N25" s="305"/>
    </row>
    <row r="26" spans="2:22" ht="18" customHeight="1" thickBot="1" x14ac:dyDescent="0.45">
      <c r="B26" s="110"/>
      <c r="C26" s="14" t="s">
        <v>48</v>
      </c>
      <c r="D26" s="15" t="s">
        <v>49</v>
      </c>
      <c r="E26" s="134"/>
      <c r="F26" s="135">
        <v>0.8</v>
      </c>
      <c r="G26" s="136">
        <f t="shared" ref="G26:L26" si="11">+ROUND(G17*$F$26,2)</f>
        <v>0.8</v>
      </c>
      <c r="H26" s="136">
        <f t="shared" si="11"/>
        <v>0.8</v>
      </c>
      <c r="I26" s="136">
        <f t="shared" si="11"/>
        <v>0.81</v>
      </c>
      <c r="J26" s="136">
        <f t="shared" si="11"/>
        <v>0.82</v>
      </c>
      <c r="K26" s="287">
        <f t="shared" si="11"/>
        <v>0.82</v>
      </c>
      <c r="L26" s="287">
        <f t="shared" si="11"/>
        <v>0.82</v>
      </c>
      <c r="M26" s="287">
        <f t="shared" ref="M26:N26" si="12">+ROUND(M17*$F$26,2)</f>
        <v>0.83</v>
      </c>
      <c r="N26" s="304">
        <f t="shared" si="12"/>
        <v>0.9</v>
      </c>
    </row>
    <row r="27" spans="2:22" ht="6.75" customHeight="1" thickBot="1" x14ac:dyDescent="0.4">
      <c r="B27" s="110"/>
      <c r="K27" s="288"/>
      <c r="L27" s="288"/>
      <c r="M27" s="288"/>
      <c r="N27" s="305"/>
    </row>
    <row r="28" spans="2:22" ht="18" customHeight="1" thickBot="1" x14ac:dyDescent="0.45">
      <c r="B28" s="110"/>
      <c r="C28" s="14" t="s">
        <v>227</v>
      </c>
      <c r="D28" s="15" t="s">
        <v>231</v>
      </c>
      <c r="E28" s="134"/>
      <c r="F28" s="137">
        <v>0.121603</v>
      </c>
      <c r="G28" s="138">
        <v>0.12529100000000001</v>
      </c>
      <c r="H28" s="138">
        <v>0.13536400000000001</v>
      </c>
      <c r="I28" s="138">
        <v>0.14238999999999999</v>
      </c>
      <c r="J28" s="138">
        <v>0.14319000000000001</v>
      </c>
      <c r="K28" s="289">
        <v>0.157359</v>
      </c>
      <c r="L28" s="289">
        <f>+'[1]coefficiente energetico 19-20'!$K$19</f>
        <v>0.15231994184325873</v>
      </c>
      <c r="M28" s="289">
        <f>+'[2]coefficiente energetico 19- 21'!$O$19</f>
        <v>0.15068154684325383</v>
      </c>
      <c r="N28" s="306">
        <f>+'[3]coefficiente energetico 21- 22'!$R$20</f>
        <v>0.14999360557822575</v>
      </c>
    </row>
    <row r="29" spans="2:22" ht="6.75" customHeight="1" thickBot="1" x14ac:dyDescent="0.4">
      <c r="B29" s="110"/>
      <c r="K29" s="288"/>
      <c r="L29" s="288"/>
      <c r="M29" s="288"/>
      <c r="N29" s="305"/>
    </row>
    <row r="30" spans="2:22" ht="18" customHeight="1" thickBot="1" x14ac:dyDescent="0.45">
      <c r="B30" s="110"/>
      <c r="C30" s="18" t="s">
        <v>50</v>
      </c>
      <c r="D30" s="15" t="s">
        <v>23</v>
      </c>
      <c r="E30" s="10"/>
      <c r="F30" s="135">
        <f>25.82*0.85</f>
        <v>21.946999999999999</v>
      </c>
      <c r="G30" s="139">
        <f t="shared" ref="G30:N30" si="13">+F30</f>
        <v>21.946999999999999</v>
      </c>
      <c r="H30" s="139">
        <f t="shared" si="13"/>
        <v>21.946999999999999</v>
      </c>
      <c r="I30" s="139">
        <f t="shared" si="13"/>
        <v>21.946999999999999</v>
      </c>
      <c r="J30" s="139">
        <f t="shared" si="13"/>
        <v>21.946999999999999</v>
      </c>
      <c r="K30" s="283">
        <f t="shared" si="13"/>
        <v>21.946999999999999</v>
      </c>
      <c r="L30" s="283">
        <f t="shared" si="13"/>
        <v>21.946999999999999</v>
      </c>
      <c r="M30" s="283">
        <f t="shared" si="13"/>
        <v>21.946999999999999</v>
      </c>
      <c r="N30" s="139">
        <f t="shared" si="13"/>
        <v>21.946999999999999</v>
      </c>
    </row>
    <row r="31" spans="2:22" ht="6.75" customHeight="1" thickBot="1" x14ac:dyDescent="0.4">
      <c r="B31" s="110"/>
      <c r="K31" s="288"/>
      <c r="L31" s="288"/>
      <c r="M31" s="288"/>
      <c r="N31" s="305"/>
    </row>
    <row r="32" spans="2:22" ht="18" customHeight="1" thickBot="1" x14ac:dyDescent="0.45">
      <c r="B32" s="110"/>
      <c r="C32" s="18" t="s">
        <v>51</v>
      </c>
      <c r="D32" s="15" t="s">
        <v>24</v>
      </c>
      <c r="E32" s="10"/>
      <c r="F32" s="135">
        <v>20.658275963579459</v>
      </c>
      <c r="G32" s="139">
        <f t="shared" ref="G32:N32" si="14">+F32</f>
        <v>20.658275963579459</v>
      </c>
      <c r="H32" s="139">
        <f t="shared" si="14"/>
        <v>20.658275963579459</v>
      </c>
      <c r="I32" s="139">
        <f t="shared" si="14"/>
        <v>20.658275963579459</v>
      </c>
      <c r="J32" s="139">
        <f t="shared" si="14"/>
        <v>20.658275963579459</v>
      </c>
      <c r="K32" s="283">
        <f t="shared" si="14"/>
        <v>20.658275963579459</v>
      </c>
      <c r="L32" s="283">
        <f t="shared" si="14"/>
        <v>20.658275963579459</v>
      </c>
      <c r="M32" s="283">
        <f t="shared" si="14"/>
        <v>20.658275963579459</v>
      </c>
      <c r="N32" s="139">
        <f t="shared" si="14"/>
        <v>20.658275963579459</v>
      </c>
    </row>
    <row r="33" spans="2:14" x14ac:dyDescent="0.35">
      <c r="B33" s="1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42"/>
    </row>
    <row r="34" spans="2:14" ht="13.15" x14ac:dyDescent="0.4">
      <c r="B34" s="110"/>
      <c r="C34" s="8" t="s">
        <v>19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42"/>
    </row>
    <row r="35" spans="2:14" ht="15" customHeight="1" x14ac:dyDescent="0.35">
      <c r="B35" s="140"/>
      <c r="C35" s="77" t="s">
        <v>20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142"/>
    </row>
    <row r="36" spans="2:14" ht="15.75" customHeight="1" thickBot="1" x14ac:dyDescent="0.4">
      <c r="B36" s="141"/>
      <c r="C36" s="78" t="s">
        <v>21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291"/>
    </row>
    <row r="37" spans="2:14" ht="13.15" thickTop="1" x14ac:dyDescent="0.35"/>
  </sheetData>
  <dataConsolidate/>
  <mergeCells count="1">
    <mergeCell ref="C17:D17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2"/>
  <sheetViews>
    <sheetView showGridLines="0" topLeftCell="A54" workbookViewId="0">
      <selection activeCell="O91" sqref="O91"/>
    </sheetView>
  </sheetViews>
  <sheetFormatPr defaultColWidth="9.1328125" defaultRowHeight="12.75" x14ac:dyDescent="0.35"/>
  <cols>
    <col min="1" max="1" width="41.265625" style="91" customWidth="1"/>
    <col min="2" max="2" width="2.3984375" style="91" customWidth="1"/>
    <col min="3" max="16384" width="9.1328125" style="91"/>
  </cols>
  <sheetData>
    <row r="1" spans="1:14" ht="13.15" thickBot="1" x14ac:dyDescent="0.4">
      <c r="A1" s="102"/>
      <c r="B1" s="102"/>
    </row>
    <row r="2" spans="1:14" ht="13.15" thickBot="1" x14ac:dyDescent="0.4">
      <c r="A2" s="312" t="s">
        <v>59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4"/>
    </row>
    <row r="3" spans="1:14" x14ac:dyDescent="0.35">
      <c r="A3" s="103"/>
    </row>
    <row r="4" spans="1:14" x14ac:dyDescent="0.35">
      <c r="A4" s="310" t="s">
        <v>60</v>
      </c>
      <c r="B4" s="311"/>
      <c r="C4" s="92" t="s">
        <v>61</v>
      </c>
      <c r="D4" s="92" t="s">
        <v>62</v>
      </c>
      <c r="E4" s="92" t="s">
        <v>63</v>
      </c>
      <c r="F4" s="92" t="s">
        <v>64</v>
      </c>
      <c r="G4" s="92" t="s">
        <v>65</v>
      </c>
      <c r="H4" s="92" t="s">
        <v>66</v>
      </c>
      <c r="I4" s="92" t="s">
        <v>67</v>
      </c>
      <c r="J4" s="92" t="s">
        <v>68</v>
      </c>
      <c r="K4" s="92" t="s">
        <v>69</v>
      </c>
      <c r="L4" s="92" t="s">
        <v>70</v>
      </c>
      <c r="M4" s="92" t="s">
        <v>71</v>
      </c>
      <c r="N4" s="92" t="s">
        <v>72</v>
      </c>
    </row>
    <row r="5" spans="1:14" x14ac:dyDescent="0.35">
      <c r="A5" s="93" t="s">
        <v>73</v>
      </c>
      <c r="C5" s="104">
        <v>110.7</v>
      </c>
      <c r="D5" s="104">
        <v>111.2</v>
      </c>
      <c r="E5" s="104">
        <v>111.4</v>
      </c>
      <c r="F5" s="104">
        <v>111.5</v>
      </c>
      <c r="G5" s="104">
        <v>111.9</v>
      </c>
      <c r="H5" s="104">
        <v>112.3</v>
      </c>
      <c r="I5" s="104">
        <v>112.4</v>
      </c>
      <c r="J5" s="104">
        <v>112.5</v>
      </c>
      <c r="K5" s="104">
        <v>112.7</v>
      </c>
      <c r="L5" s="104">
        <v>113</v>
      </c>
      <c r="M5" s="104">
        <v>113.4</v>
      </c>
      <c r="N5" s="104">
        <v>113.5</v>
      </c>
    </row>
    <row r="6" spans="1:14" ht="12.75" customHeight="1" x14ac:dyDescent="0.35">
      <c r="A6" s="94"/>
      <c r="C6" s="92" t="s">
        <v>74</v>
      </c>
      <c r="D6" s="92" t="s">
        <v>75</v>
      </c>
      <c r="E6" s="92" t="s">
        <v>76</v>
      </c>
      <c r="F6" s="92" t="s">
        <v>77</v>
      </c>
      <c r="G6" s="92" t="s">
        <v>78</v>
      </c>
      <c r="H6" s="92" t="s">
        <v>79</v>
      </c>
      <c r="I6" s="92" t="s">
        <v>80</v>
      </c>
      <c r="J6" s="92" t="s">
        <v>81</v>
      </c>
      <c r="K6" s="92" t="s">
        <v>82</v>
      </c>
      <c r="L6" s="92" t="s">
        <v>83</v>
      </c>
      <c r="M6" s="92" t="s">
        <v>84</v>
      </c>
      <c r="N6" s="92" t="s">
        <v>85</v>
      </c>
    </row>
    <row r="7" spans="1:14" x14ac:dyDescent="0.35">
      <c r="A7" s="93" t="s">
        <v>73</v>
      </c>
      <c r="C7" s="104">
        <v>114</v>
      </c>
      <c r="D7" s="104">
        <v>114.4</v>
      </c>
      <c r="E7" s="104">
        <v>114.5</v>
      </c>
      <c r="F7" s="104">
        <v>115</v>
      </c>
      <c r="G7" s="104">
        <v>115.3</v>
      </c>
      <c r="H7" s="104">
        <v>115.5</v>
      </c>
      <c r="I7" s="104">
        <v>115.5</v>
      </c>
      <c r="J7" s="104">
        <v>115.5</v>
      </c>
      <c r="K7" s="104">
        <v>115.5</v>
      </c>
      <c r="L7" s="104">
        <v>115.9</v>
      </c>
      <c r="M7" s="104">
        <v>116</v>
      </c>
      <c r="N7" s="104">
        <v>116.1</v>
      </c>
    </row>
    <row r="8" spans="1:14" x14ac:dyDescent="0.35">
      <c r="C8" s="92" t="s">
        <v>86</v>
      </c>
      <c r="D8" s="92" t="s">
        <v>87</v>
      </c>
      <c r="E8" s="92" t="s">
        <v>88</v>
      </c>
      <c r="F8" s="92" t="s">
        <v>89</v>
      </c>
      <c r="G8" s="92" t="s">
        <v>90</v>
      </c>
      <c r="H8" s="92" t="s">
        <v>91</v>
      </c>
      <c r="I8" s="92" t="s">
        <v>92</v>
      </c>
      <c r="J8" s="92" t="s">
        <v>93</v>
      </c>
      <c r="K8" s="92" t="s">
        <v>94</v>
      </c>
      <c r="L8" s="92" t="s">
        <v>95</v>
      </c>
      <c r="M8" s="92" t="s">
        <v>96</v>
      </c>
      <c r="N8" s="92" t="s">
        <v>97</v>
      </c>
    </row>
    <row r="9" spans="1:14" x14ac:dyDescent="0.35">
      <c r="A9" s="93" t="s">
        <v>73</v>
      </c>
      <c r="C9" s="104">
        <v>116.6</v>
      </c>
      <c r="D9" s="104">
        <v>117</v>
      </c>
      <c r="E9" s="104">
        <v>117.1</v>
      </c>
      <c r="F9" s="104">
        <v>117.6</v>
      </c>
      <c r="G9" s="104">
        <v>117.8</v>
      </c>
      <c r="H9" s="104">
        <v>118</v>
      </c>
      <c r="I9" s="104">
        <v>118.1</v>
      </c>
      <c r="J9" s="104">
        <v>118.3</v>
      </c>
      <c r="K9" s="104">
        <v>118.5</v>
      </c>
      <c r="L9" s="104">
        <v>118.8</v>
      </c>
      <c r="M9" s="104">
        <v>119.1</v>
      </c>
      <c r="N9" s="104">
        <v>119.2</v>
      </c>
    </row>
    <row r="10" spans="1:14" x14ac:dyDescent="0.35">
      <c r="C10" s="92" t="s">
        <v>98</v>
      </c>
      <c r="D10" s="92" t="s">
        <v>99</v>
      </c>
      <c r="E10" s="92" t="s">
        <v>100</v>
      </c>
      <c r="F10" s="92" t="s">
        <v>101</v>
      </c>
      <c r="G10" s="92" t="s">
        <v>102</v>
      </c>
      <c r="H10" s="92" t="s">
        <v>103</v>
      </c>
      <c r="I10" s="92" t="s">
        <v>104</v>
      </c>
      <c r="J10" s="92" t="s">
        <v>105</v>
      </c>
      <c r="K10" s="92" t="s">
        <v>106</v>
      </c>
      <c r="L10" s="92" t="s">
        <v>107</v>
      </c>
      <c r="M10" s="92" t="s">
        <v>108</v>
      </c>
      <c r="N10" s="92" t="s">
        <v>109</v>
      </c>
    </row>
    <row r="11" spans="1:14" x14ac:dyDescent="0.35">
      <c r="A11" s="93" t="s">
        <v>73</v>
      </c>
      <c r="C11" s="104">
        <v>119.7</v>
      </c>
      <c r="D11" s="104">
        <v>119.9</v>
      </c>
      <c r="E11" s="104">
        <v>120.3</v>
      </c>
      <c r="F11" s="104">
        <v>120.6</v>
      </c>
      <c r="G11" s="104">
        <v>120.9</v>
      </c>
      <c r="H11" s="104">
        <v>121</v>
      </c>
      <c r="I11" s="104">
        <v>121.1</v>
      </c>
      <c r="J11" s="104">
        <v>121.3</v>
      </c>
      <c r="K11" s="104">
        <v>121.7</v>
      </c>
      <c r="L11" s="104">
        <v>121.7</v>
      </c>
      <c r="M11" s="104">
        <v>122.1</v>
      </c>
      <c r="N11" s="104">
        <v>122.2</v>
      </c>
    </row>
    <row r="12" spans="1:14" x14ac:dyDescent="0.35">
      <c r="C12" s="92" t="s">
        <v>110</v>
      </c>
      <c r="D12" s="92" t="s">
        <v>111</v>
      </c>
      <c r="E12" s="92" t="s">
        <v>112</v>
      </c>
      <c r="F12" s="92" t="s">
        <v>113</v>
      </c>
      <c r="G12" s="92" t="s">
        <v>114</v>
      </c>
      <c r="H12" s="92" t="s">
        <v>115</v>
      </c>
      <c r="I12" s="92" t="s">
        <v>116</v>
      </c>
      <c r="J12" s="92" t="s">
        <v>117</v>
      </c>
      <c r="K12" s="92" t="s">
        <v>118</v>
      </c>
      <c r="L12" s="92" t="s">
        <v>119</v>
      </c>
      <c r="M12" s="92" t="s">
        <v>120</v>
      </c>
      <c r="N12" s="92" t="s">
        <v>121</v>
      </c>
    </row>
    <row r="13" spans="1:14" x14ac:dyDescent="0.35">
      <c r="A13" s="93" t="s">
        <v>73</v>
      </c>
      <c r="C13" s="104">
        <v>122.4</v>
      </c>
      <c r="D13" s="104">
        <v>122.8</v>
      </c>
      <c r="E13" s="104">
        <v>123.1</v>
      </c>
      <c r="F13" s="104">
        <v>123.3</v>
      </c>
      <c r="G13" s="104">
        <v>123.7</v>
      </c>
      <c r="H13" s="104">
        <v>123.8</v>
      </c>
      <c r="I13" s="104">
        <v>123.9</v>
      </c>
      <c r="J13" s="104">
        <v>124.3</v>
      </c>
      <c r="K13" s="104">
        <v>124.3</v>
      </c>
      <c r="L13" s="104">
        <v>124.3</v>
      </c>
      <c r="M13" s="104">
        <v>124.4</v>
      </c>
      <c r="N13" s="104">
        <v>124.6</v>
      </c>
    </row>
    <row r="14" spans="1:14" x14ac:dyDescent="0.35">
      <c r="C14" s="92" t="s">
        <v>122</v>
      </c>
      <c r="D14" s="92" t="s">
        <v>123</v>
      </c>
      <c r="E14" s="92" t="s">
        <v>124</v>
      </c>
      <c r="F14" s="92" t="s">
        <v>125</v>
      </c>
      <c r="G14" s="92" t="s">
        <v>126</v>
      </c>
      <c r="H14" s="92" t="s">
        <v>127</v>
      </c>
      <c r="I14" s="92" t="s">
        <v>128</v>
      </c>
      <c r="J14" s="92" t="s">
        <v>129</v>
      </c>
      <c r="K14" s="92" t="s">
        <v>130</v>
      </c>
      <c r="L14" s="92" t="s">
        <v>131</v>
      </c>
      <c r="M14" s="92" t="s">
        <v>132</v>
      </c>
      <c r="N14" s="92" t="s">
        <v>133</v>
      </c>
    </row>
    <row r="15" spans="1:14" x14ac:dyDescent="0.35">
      <c r="A15" s="93" t="s">
        <v>73</v>
      </c>
      <c r="C15" s="104">
        <v>124.6</v>
      </c>
      <c r="D15" s="104">
        <v>125</v>
      </c>
      <c r="E15" s="104">
        <v>125.2</v>
      </c>
      <c r="F15" s="104">
        <v>125.6</v>
      </c>
      <c r="G15" s="104">
        <v>125.8</v>
      </c>
      <c r="H15" s="104">
        <v>126</v>
      </c>
      <c r="I15" s="104">
        <v>126.3</v>
      </c>
      <c r="J15" s="104">
        <v>126.6</v>
      </c>
      <c r="K15" s="104">
        <v>126.6</v>
      </c>
      <c r="L15" s="104">
        <v>126.8</v>
      </c>
      <c r="M15" s="104">
        <v>127</v>
      </c>
      <c r="N15" s="104">
        <v>127</v>
      </c>
    </row>
    <row r="16" spans="1:14" x14ac:dyDescent="0.35">
      <c r="C16" s="92" t="s">
        <v>134</v>
      </c>
      <c r="D16" s="92" t="s">
        <v>135</v>
      </c>
      <c r="E16" s="92" t="s">
        <v>136</v>
      </c>
      <c r="F16" s="92" t="s">
        <v>137</v>
      </c>
      <c r="G16" s="92" t="s">
        <v>138</v>
      </c>
      <c r="H16" s="92" t="s">
        <v>139</v>
      </c>
      <c r="I16" s="92" t="s">
        <v>140</v>
      </c>
      <c r="J16" s="92" t="s">
        <v>141</v>
      </c>
      <c r="K16" s="92" t="s">
        <v>142</v>
      </c>
      <c r="L16" s="92" t="s">
        <v>143</v>
      </c>
      <c r="M16" s="92" t="s">
        <v>144</v>
      </c>
      <c r="N16" s="92" t="s">
        <v>145</v>
      </c>
    </row>
    <row r="17" spans="1:14" x14ac:dyDescent="0.35">
      <c r="A17" s="93" t="s">
        <v>73</v>
      </c>
      <c r="C17" s="104">
        <v>127.3</v>
      </c>
      <c r="D17" s="104">
        <v>127.6</v>
      </c>
      <c r="E17" s="104">
        <v>127.9</v>
      </c>
      <c r="F17" s="104">
        <v>128.30000000000001</v>
      </c>
      <c r="G17" s="104">
        <v>128.5</v>
      </c>
      <c r="H17" s="104">
        <v>128.69999999999999</v>
      </c>
      <c r="I17" s="104">
        <v>129.19999999999999</v>
      </c>
      <c r="J17" s="104">
        <v>129.4</v>
      </c>
      <c r="K17" s="104">
        <v>129.30000000000001</v>
      </c>
      <c r="L17" s="104">
        <v>129</v>
      </c>
      <c r="M17" s="104">
        <v>129.30000000000001</v>
      </c>
      <c r="N17" s="104">
        <v>129.30000000000001</v>
      </c>
    </row>
    <row r="18" spans="1:14" x14ac:dyDescent="0.35">
      <c r="C18" s="92" t="s">
        <v>146</v>
      </c>
      <c r="D18" s="92" t="s">
        <v>147</v>
      </c>
      <c r="E18" s="92" t="s">
        <v>148</v>
      </c>
      <c r="F18" s="92" t="s">
        <v>149</v>
      </c>
      <c r="G18" s="92" t="s">
        <v>150</v>
      </c>
      <c r="H18" s="92" t="s">
        <v>151</v>
      </c>
      <c r="I18" s="92" t="s">
        <v>152</v>
      </c>
      <c r="J18" s="92" t="s">
        <v>153</v>
      </c>
      <c r="K18" s="92" t="s">
        <v>154</v>
      </c>
      <c r="L18" s="92" t="s">
        <v>155</v>
      </c>
      <c r="M18" s="92" t="s">
        <v>156</v>
      </c>
      <c r="N18" s="92" t="s">
        <v>157</v>
      </c>
    </row>
    <row r="19" spans="1:14" x14ac:dyDescent="0.35">
      <c r="A19" s="93" t="s">
        <v>73</v>
      </c>
      <c r="C19" s="104">
        <v>129.4</v>
      </c>
      <c r="D19" s="104">
        <v>129.80000000000001</v>
      </c>
      <c r="E19" s="104">
        <v>129.9</v>
      </c>
      <c r="F19" s="104">
        <v>130.19999999999999</v>
      </c>
      <c r="G19" s="104">
        <v>130.6</v>
      </c>
      <c r="H19" s="104">
        <v>130.80000000000001</v>
      </c>
      <c r="I19" s="104">
        <v>131.1</v>
      </c>
      <c r="J19" s="104">
        <v>131.30000000000001</v>
      </c>
      <c r="K19" s="104">
        <v>131.30000000000001</v>
      </c>
      <c r="L19" s="104">
        <v>131.80000000000001</v>
      </c>
      <c r="M19" s="104">
        <v>132.30000000000001</v>
      </c>
      <c r="N19" s="104">
        <v>132.69999999999999</v>
      </c>
    </row>
    <row r="20" spans="1:14" x14ac:dyDescent="0.35">
      <c r="C20" s="92" t="s">
        <v>158</v>
      </c>
      <c r="D20" s="92" t="s">
        <v>159</v>
      </c>
      <c r="E20" s="92" t="s">
        <v>160</v>
      </c>
      <c r="F20" s="92" t="s">
        <v>161</v>
      </c>
      <c r="G20" s="92" t="s">
        <v>162</v>
      </c>
      <c r="H20" s="92" t="s">
        <v>163</v>
      </c>
      <c r="I20" s="92" t="s">
        <v>164</v>
      </c>
      <c r="J20" s="92" t="s">
        <v>165</v>
      </c>
      <c r="K20" s="92" t="s">
        <v>166</v>
      </c>
      <c r="L20" s="92" t="s">
        <v>167</v>
      </c>
      <c r="M20" s="92" t="s">
        <v>168</v>
      </c>
      <c r="N20" s="92" t="s">
        <v>169</v>
      </c>
    </row>
    <row r="21" spans="1:14" x14ac:dyDescent="0.35">
      <c r="A21" s="93" t="s">
        <v>73</v>
      </c>
      <c r="C21" s="104">
        <v>133.19999999999999</v>
      </c>
      <c r="D21" s="104">
        <v>133.5</v>
      </c>
      <c r="E21" s="104">
        <v>134.19999999999999</v>
      </c>
      <c r="F21" s="104">
        <v>134.5</v>
      </c>
      <c r="G21" s="104">
        <v>135.19999999999999</v>
      </c>
      <c r="H21" s="104">
        <v>135.80000000000001</v>
      </c>
      <c r="I21" s="104">
        <v>136.4</v>
      </c>
      <c r="J21" s="104">
        <v>136.6</v>
      </c>
      <c r="K21" s="104">
        <v>136.19999999999999</v>
      </c>
      <c r="L21" s="104">
        <v>136.19999999999999</v>
      </c>
      <c r="M21" s="104">
        <v>135.69999999999999</v>
      </c>
      <c r="N21" s="104">
        <v>135.5</v>
      </c>
    </row>
    <row r="22" spans="1:14" x14ac:dyDescent="0.35">
      <c r="C22" s="92" t="s">
        <v>170</v>
      </c>
      <c r="D22" s="92" t="s">
        <v>171</v>
      </c>
      <c r="E22" s="92" t="s">
        <v>172</v>
      </c>
      <c r="F22" s="92" t="s">
        <v>173</v>
      </c>
      <c r="G22" s="92" t="s">
        <v>174</v>
      </c>
      <c r="H22" s="92" t="s">
        <v>175</v>
      </c>
      <c r="I22" s="92" t="s">
        <v>176</v>
      </c>
      <c r="J22" s="92" t="s">
        <v>177</v>
      </c>
      <c r="K22" s="92" t="s">
        <v>178</v>
      </c>
      <c r="L22" s="92" t="s">
        <v>179</v>
      </c>
      <c r="M22" s="92" t="s">
        <v>180</v>
      </c>
      <c r="N22" s="92" t="s">
        <v>181</v>
      </c>
    </row>
    <row r="23" spans="1:14" x14ac:dyDescent="0.35">
      <c r="A23" s="93" t="s">
        <v>73</v>
      </c>
      <c r="C23" s="104">
        <v>135.30000000000001</v>
      </c>
      <c r="D23" s="104">
        <v>135.6</v>
      </c>
      <c r="E23" s="104">
        <v>135.69999999999999</v>
      </c>
      <c r="F23" s="104">
        <v>136</v>
      </c>
      <c r="G23" s="104">
        <v>136.30000000000001</v>
      </c>
      <c r="H23" s="104">
        <v>136.5</v>
      </c>
      <c r="I23" s="104">
        <v>136.5</v>
      </c>
      <c r="J23" s="104">
        <v>136.9</v>
      </c>
      <c r="K23" s="104">
        <v>136.6</v>
      </c>
      <c r="L23" s="104">
        <v>136.6</v>
      </c>
      <c r="M23" s="104">
        <v>136.80000000000001</v>
      </c>
      <c r="N23" s="104">
        <v>137.1</v>
      </c>
    </row>
    <row r="24" spans="1:14" x14ac:dyDescent="0.35">
      <c r="C24" s="92" t="s">
        <v>182</v>
      </c>
      <c r="D24" s="92" t="s">
        <v>183</v>
      </c>
      <c r="E24" s="92" t="s">
        <v>184</v>
      </c>
      <c r="F24" s="92" t="s">
        <v>185</v>
      </c>
      <c r="G24" s="92" t="s">
        <v>186</v>
      </c>
      <c r="H24" s="92" t="s">
        <v>187</v>
      </c>
      <c r="I24" s="92" t="s">
        <v>188</v>
      </c>
      <c r="J24" s="92" t="s">
        <v>189</v>
      </c>
      <c r="K24" s="92" t="s">
        <v>190</v>
      </c>
      <c r="L24" s="92" t="s">
        <v>191</v>
      </c>
      <c r="M24" s="92" t="s">
        <v>192</v>
      </c>
      <c r="N24" s="92" t="s">
        <v>193</v>
      </c>
    </row>
    <row r="25" spans="1:14" x14ac:dyDescent="0.35">
      <c r="A25" s="93" t="s">
        <v>73</v>
      </c>
      <c r="C25" s="104">
        <v>137.30000000000001</v>
      </c>
      <c r="D25" s="104">
        <v>137.4</v>
      </c>
      <c r="E25" s="104">
        <v>137.69999999999999</v>
      </c>
      <c r="F25" s="104">
        <v>138.19999999999999</v>
      </c>
      <c r="G25" s="104">
        <v>138.30000000000001</v>
      </c>
      <c r="H25" s="104">
        <v>138.30000000000001</v>
      </c>
      <c r="I25" s="104">
        <v>138.80000000000001</v>
      </c>
      <c r="J25" s="104">
        <v>139.1</v>
      </c>
      <c r="K25" s="104">
        <v>138.69999999999999</v>
      </c>
      <c r="L25" s="104">
        <v>139.1</v>
      </c>
      <c r="M25" s="104">
        <v>139.19999999999999</v>
      </c>
      <c r="N25" s="104">
        <v>139.69999999999999</v>
      </c>
    </row>
    <row r="26" spans="1:14" ht="13.15" thickBot="1" x14ac:dyDescent="0.4"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 ht="13.15" thickBot="1" x14ac:dyDescent="0.4">
      <c r="A27" s="312" t="s">
        <v>211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4"/>
    </row>
    <row r="28" spans="1:14" x14ac:dyDescent="0.35">
      <c r="A28" s="101"/>
    </row>
    <row r="29" spans="1:14" x14ac:dyDescent="0.35">
      <c r="A29" s="95" t="s">
        <v>194</v>
      </c>
    </row>
    <row r="30" spans="1:14" x14ac:dyDescent="0.35">
      <c r="C30" s="97" t="s">
        <v>195</v>
      </c>
      <c r="D30" s="97" t="s">
        <v>196</v>
      </c>
      <c r="E30" s="97" t="s">
        <v>197</v>
      </c>
      <c r="F30" s="97" t="s">
        <v>198</v>
      </c>
      <c r="G30" s="97" t="s">
        <v>199</v>
      </c>
      <c r="H30" s="97" t="s">
        <v>200</v>
      </c>
      <c r="I30" s="97" t="s">
        <v>201</v>
      </c>
      <c r="J30" s="97" t="s">
        <v>202</v>
      </c>
      <c r="K30" s="97" t="s">
        <v>203</v>
      </c>
      <c r="L30" s="97" t="s">
        <v>204</v>
      </c>
      <c r="M30" s="97" t="s">
        <v>205</v>
      </c>
      <c r="N30" s="97" t="s">
        <v>206</v>
      </c>
    </row>
    <row r="31" spans="1:14" x14ac:dyDescent="0.35">
      <c r="A31" s="93" t="s">
        <v>207</v>
      </c>
      <c r="C31" s="104">
        <v>101.2</v>
      </c>
      <c r="D31" s="104">
        <v>101.5</v>
      </c>
      <c r="E31" s="104">
        <v>101.9</v>
      </c>
      <c r="F31" s="104">
        <v>102.4</v>
      </c>
      <c r="G31" s="104">
        <v>102.5</v>
      </c>
      <c r="H31" s="104">
        <v>102.6</v>
      </c>
      <c r="I31" s="104">
        <v>102.9</v>
      </c>
      <c r="J31" s="104">
        <v>103.3</v>
      </c>
      <c r="K31" s="104">
        <v>103.2</v>
      </c>
      <c r="L31" s="104">
        <v>103.8</v>
      </c>
      <c r="M31" s="104">
        <v>103.9</v>
      </c>
      <c r="N31" s="104">
        <v>104.2</v>
      </c>
    </row>
    <row r="32" spans="1:14" x14ac:dyDescent="0.35">
      <c r="A32" s="96" t="s">
        <v>208</v>
      </c>
      <c r="C32" s="104">
        <f t="shared" ref="C32:N32" si="0">+TRUNC(C31*1.373,1)</f>
        <v>138.9</v>
      </c>
      <c r="D32" s="104">
        <f t="shared" si="0"/>
        <v>139.30000000000001</v>
      </c>
      <c r="E32" s="104">
        <f t="shared" si="0"/>
        <v>139.9</v>
      </c>
      <c r="F32" s="104">
        <f t="shared" si="0"/>
        <v>140.5</v>
      </c>
      <c r="G32" s="104">
        <f t="shared" si="0"/>
        <v>140.69999999999999</v>
      </c>
      <c r="H32" s="104">
        <f t="shared" si="0"/>
        <v>140.80000000000001</v>
      </c>
      <c r="I32" s="104">
        <f t="shared" si="0"/>
        <v>141.19999999999999</v>
      </c>
      <c r="J32" s="104">
        <f t="shared" si="0"/>
        <v>141.80000000000001</v>
      </c>
      <c r="K32" s="104">
        <f t="shared" si="0"/>
        <v>141.6</v>
      </c>
      <c r="L32" s="104">
        <f t="shared" si="0"/>
        <v>142.5</v>
      </c>
      <c r="M32" s="104">
        <f t="shared" si="0"/>
        <v>142.6</v>
      </c>
      <c r="N32" s="104">
        <f t="shared" si="0"/>
        <v>143</v>
      </c>
    </row>
    <row r="33" spans="1:14" x14ac:dyDescent="0.35">
      <c r="C33" s="97">
        <v>40909</v>
      </c>
      <c r="D33" s="97">
        <v>40940</v>
      </c>
      <c r="E33" s="97">
        <v>40969</v>
      </c>
      <c r="F33" s="97">
        <v>41000</v>
      </c>
      <c r="G33" s="97">
        <v>41030</v>
      </c>
      <c r="H33" s="97">
        <v>41061</v>
      </c>
      <c r="I33" s="97">
        <v>41091</v>
      </c>
      <c r="J33" s="97">
        <v>41122</v>
      </c>
      <c r="K33" s="97">
        <v>41153</v>
      </c>
      <c r="L33" s="97">
        <v>41183</v>
      </c>
      <c r="M33" s="97">
        <v>41214</v>
      </c>
      <c r="N33" s="97">
        <v>41244</v>
      </c>
    </row>
    <row r="34" spans="1:14" x14ac:dyDescent="0.35">
      <c r="A34" s="93" t="s">
        <v>207</v>
      </c>
      <c r="C34" s="104">
        <v>104.6</v>
      </c>
      <c r="D34" s="104">
        <v>105</v>
      </c>
      <c r="E34" s="104">
        <v>105.4</v>
      </c>
      <c r="F34" s="104">
        <v>105.9</v>
      </c>
      <c r="G34" s="104">
        <v>105.8</v>
      </c>
      <c r="H34" s="104">
        <v>106</v>
      </c>
      <c r="I34" s="104">
        <v>106.1</v>
      </c>
      <c r="J34" s="104">
        <v>106.6</v>
      </c>
      <c r="K34" s="104">
        <v>106.5</v>
      </c>
      <c r="L34" s="104">
        <v>106.6</v>
      </c>
      <c r="M34" s="104">
        <v>106.4</v>
      </c>
      <c r="N34" s="104">
        <v>106.7</v>
      </c>
    </row>
    <row r="35" spans="1:14" x14ac:dyDescent="0.35">
      <c r="A35" s="96" t="s">
        <v>208</v>
      </c>
      <c r="C35" s="104">
        <f t="shared" ref="C35:N35" si="1">+TRUNC(C34*1.373,1)</f>
        <v>143.6</v>
      </c>
      <c r="D35" s="104">
        <f t="shared" si="1"/>
        <v>144.1</v>
      </c>
      <c r="E35" s="104">
        <f t="shared" si="1"/>
        <v>144.69999999999999</v>
      </c>
      <c r="F35" s="104">
        <f t="shared" si="1"/>
        <v>145.4</v>
      </c>
      <c r="G35" s="104">
        <f t="shared" si="1"/>
        <v>145.19999999999999</v>
      </c>
      <c r="H35" s="104">
        <f t="shared" si="1"/>
        <v>145.5</v>
      </c>
      <c r="I35" s="104">
        <f t="shared" si="1"/>
        <v>145.6</v>
      </c>
      <c r="J35" s="104">
        <f t="shared" si="1"/>
        <v>146.30000000000001</v>
      </c>
      <c r="K35" s="104">
        <f t="shared" si="1"/>
        <v>146.19999999999999</v>
      </c>
      <c r="L35" s="104">
        <f t="shared" si="1"/>
        <v>146.30000000000001</v>
      </c>
      <c r="M35" s="104">
        <f t="shared" si="1"/>
        <v>146</v>
      </c>
      <c r="N35" s="104">
        <f t="shared" si="1"/>
        <v>146.4</v>
      </c>
    </row>
    <row r="36" spans="1:14" x14ac:dyDescent="0.35">
      <c r="C36" s="97">
        <f t="shared" ref="C36:N36" si="2">+C33+366</f>
        <v>41275</v>
      </c>
      <c r="D36" s="97">
        <f t="shared" si="2"/>
        <v>41306</v>
      </c>
      <c r="E36" s="97">
        <f t="shared" si="2"/>
        <v>41335</v>
      </c>
      <c r="F36" s="97">
        <f t="shared" si="2"/>
        <v>41366</v>
      </c>
      <c r="G36" s="97">
        <f t="shared" si="2"/>
        <v>41396</v>
      </c>
      <c r="H36" s="97">
        <f t="shared" si="2"/>
        <v>41427</v>
      </c>
      <c r="I36" s="97">
        <f t="shared" si="2"/>
        <v>41457</v>
      </c>
      <c r="J36" s="97">
        <f t="shared" si="2"/>
        <v>41488</v>
      </c>
      <c r="K36" s="97">
        <f t="shared" si="2"/>
        <v>41519</v>
      </c>
      <c r="L36" s="97">
        <f t="shared" si="2"/>
        <v>41549</v>
      </c>
      <c r="M36" s="97">
        <f t="shared" si="2"/>
        <v>41580</v>
      </c>
      <c r="N36" s="97">
        <f t="shared" si="2"/>
        <v>41610</v>
      </c>
    </row>
    <row r="37" spans="1:14" x14ac:dyDescent="0.35">
      <c r="A37" s="93" t="s">
        <v>207</v>
      </c>
      <c r="C37" s="104">
        <v>106.9</v>
      </c>
      <c r="D37" s="104">
        <v>106.9</v>
      </c>
      <c r="E37" s="104">
        <v>107.1</v>
      </c>
      <c r="F37" s="104">
        <v>107.1</v>
      </c>
      <c r="G37" s="104">
        <v>107</v>
      </c>
      <c r="H37" s="104">
        <v>107.3</v>
      </c>
      <c r="I37" s="104">
        <v>107.3</v>
      </c>
      <c r="J37" s="104">
        <v>107.7</v>
      </c>
      <c r="K37" s="104">
        <v>107.4</v>
      </c>
      <c r="L37" s="104">
        <v>107.3</v>
      </c>
      <c r="M37" s="104">
        <v>107</v>
      </c>
      <c r="N37" s="104">
        <v>107.3</v>
      </c>
    </row>
    <row r="38" spans="1:14" x14ac:dyDescent="0.35">
      <c r="A38" s="96" t="s">
        <v>208</v>
      </c>
      <c r="C38" s="104">
        <f t="shared" ref="C38:N38" si="3">+TRUNC(C37*1.373,1)</f>
        <v>146.69999999999999</v>
      </c>
      <c r="D38" s="104">
        <f t="shared" si="3"/>
        <v>146.69999999999999</v>
      </c>
      <c r="E38" s="104">
        <f t="shared" si="3"/>
        <v>147</v>
      </c>
      <c r="F38" s="104">
        <f t="shared" si="3"/>
        <v>147</v>
      </c>
      <c r="G38" s="104">
        <f t="shared" si="3"/>
        <v>146.9</v>
      </c>
      <c r="H38" s="104">
        <f t="shared" si="3"/>
        <v>147.30000000000001</v>
      </c>
      <c r="I38" s="104">
        <f t="shared" si="3"/>
        <v>147.30000000000001</v>
      </c>
      <c r="J38" s="104">
        <f t="shared" si="3"/>
        <v>147.80000000000001</v>
      </c>
      <c r="K38" s="104">
        <f t="shared" si="3"/>
        <v>147.4</v>
      </c>
      <c r="L38" s="104">
        <f t="shared" si="3"/>
        <v>147.30000000000001</v>
      </c>
      <c r="M38" s="104">
        <f t="shared" si="3"/>
        <v>146.9</v>
      </c>
      <c r="N38" s="104">
        <f t="shared" si="3"/>
        <v>147.30000000000001</v>
      </c>
    </row>
    <row r="39" spans="1:14" x14ac:dyDescent="0.35">
      <c r="C39" s="97">
        <f t="shared" ref="C39:N39" si="4">+C36+366</f>
        <v>41641</v>
      </c>
      <c r="D39" s="97">
        <f t="shared" si="4"/>
        <v>41672</v>
      </c>
      <c r="E39" s="97">
        <f t="shared" si="4"/>
        <v>41701</v>
      </c>
      <c r="F39" s="97">
        <f t="shared" si="4"/>
        <v>41732</v>
      </c>
      <c r="G39" s="97">
        <f t="shared" si="4"/>
        <v>41762</v>
      </c>
      <c r="H39" s="97">
        <f t="shared" si="4"/>
        <v>41793</v>
      </c>
      <c r="I39" s="97">
        <f t="shared" si="4"/>
        <v>41823</v>
      </c>
      <c r="J39" s="97">
        <f t="shared" si="4"/>
        <v>41854</v>
      </c>
      <c r="K39" s="97">
        <f t="shared" si="4"/>
        <v>41885</v>
      </c>
      <c r="L39" s="97">
        <f t="shared" si="4"/>
        <v>41915</v>
      </c>
      <c r="M39" s="97">
        <f t="shared" si="4"/>
        <v>41946</v>
      </c>
      <c r="N39" s="97">
        <f t="shared" si="4"/>
        <v>41976</v>
      </c>
    </row>
    <row r="40" spans="1:14" x14ac:dyDescent="0.35">
      <c r="A40" s="93" t="s">
        <v>207</v>
      </c>
      <c r="C40" s="104">
        <v>107.5</v>
      </c>
      <c r="D40" s="104">
        <v>107.4</v>
      </c>
      <c r="E40" s="104">
        <v>107.4</v>
      </c>
      <c r="F40" s="104">
        <v>107.5</v>
      </c>
      <c r="G40" s="104">
        <v>107.4</v>
      </c>
      <c r="H40" s="104">
        <v>107.5</v>
      </c>
      <c r="I40" s="104">
        <v>107.4</v>
      </c>
      <c r="J40" s="104">
        <v>107.7</v>
      </c>
      <c r="K40" s="104">
        <v>107.3</v>
      </c>
      <c r="L40" s="104">
        <v>107.4</v>
      </c>
      <c r="M40" s="104">
        <v>107.2</v>
      </c>
      <c r="N40" s="104">
        <v>107.2</v>
      </c>
    </row>
    <row r="41" spans="1:14" x14ac:dyDescent="0.35">
      <c r="A41" s="96" t="s">
        <v>208</v>
      </c>
      <c r="C41" s="104">
        <f t="shared" ref="C41:N41" si="5">+TRUNC(C40*1.373,1)</f>
        <v>147.5</v>
      </c>
      <c r="D41" s="104">
        <f t="shared" si="5"/>
        <v>147.4</v>
      </c>
      <c r="E41" s="104">
        <f t="shared" si="5"/>
        <v>147.4</v>
      </c>
      <c r="F41" s="104">
        <f t="shared" si="5"/>
        <v>147.5</v>
      </c>
      <c r="G41" s="104">
        <f t="shared" si="5"/>
        <v>147.4</v>
      </c>
      <c r="H41" s="104">
        <f t="shared" si="5"/>
        <v>147.5</v>
      </c>
      <c r="I41" s="104">
        <f t="shared" si="5"/>
        <v>147.4</v>
      </c>
      <c r="J41" s="104">
        <f t="shared" si="5"/>
        <v>147.80000000000001</v>
      </c>
      <c r="K41" s="104">
        <f t="shared" si="5"/>
        <v>147.30000000000001</v>
      </c>
      <c r="L41" s="104">
        <f t="shared" si="5"/>
        <v>147.4</v>
      </c>
      <c r="M41" s="104">
        <f t="shared" si="5"/>
        <v>147.1</v>
      </c>
      <c r="N41" s="104">
        <f t="shared" si="5"/>
        <v>147.1</v>
      </c>
    </row>
    <row r="42" spans="1:14" x14ac:dyDescent="0.35">
      <c r="C42" s="97">
        <f t="shared" ref="C42:N42" si="6">+C39+366</f>
        <v>42007</v>
      </c>
      <c r="D42" s="97">
        <f t="shared" si="6"/>
        <v>42038</v>
      </c>
      <c r="E42" s="97">
        <f t="shared" si="6"/>
        <v>42067</v>
      </c>
      <c r="F42" s="97">
        <f t="shared" si="6"/>
        <v>42098</v>
      </c>
      <c r="G42" s="97">
        <f t="shared" si="6"/>
        <v>42128</v>
      </c>
      <c r="H42" s="97">
        <f t="shared" si="6"/>
        <v>42159</v>
      </c>
      <c r="I42" s="97">
        <f t="shared" si="6"/>
        <v>42189</v>
      </c>
      <c r="J42" s="97">
        <f t="shared" si="6"/>
        <v>42220</v>
      </c>
      <c r="K42" s="97">
        <f t="shared" si="6"/>
        <v>42251</v>
      </c>
      <c r="L42" s="97">
        <f t="shared" si="6"/>
        <v>42281</v>
      </c>
      <c r="M42" s="97">
        <f t="shared" si="6"/>
        <v>42312</v>
      </c>
      <c r="N42" s="97">
        <f t="shared" si="6"/>
        <v>42342</v>
      </c>
    </row>
    <row r="43" spans="1:14" x14ac:dyDescent="0.35">
      <c r="A43" s="93" t="s">
        <v>207</v>
      </c>
      <c r="C43" s="104">
        <v>106.7</v>
      </c>
      <c r="D43" s="104">
        <v>107.1</v>
      </c>
      <c r="E43" s="104">
        <v>107.3</v>
      </c>
      <c r="F43" s="104">
        <v>107.4</v>
      </c>
      <c r="G43" s="104">
        <v>107.5</v>
      </c>
      <c r="H43" s="104">
        <v>107.6</v>
      </c>
      <c r="I43" s="104">
        <v>107.5</v>
      </c>
      <c r="J43" s="104">
        <v>107.7</v>
      </c>
      <c r="K43" s="104">
        <v>107.3</v>
      </c>
      <c r="L43" s="104">
        <v>107.5</v>
      </c>
      <c r="M43" s="104">
        <v>107.3</v>
      </c>
      <c r="N43" s="104">
        <v>107.3</v>
      </c>
    </row>
    <row r="44" spans="1:14" x14ac:dyDescent="0.35">
      <c r="A44" s="96" t="s">
        <v>208</v>
      </c>
      <c r="C44" s="104">
        <f t="shared" ref="C44:N44" si="7">+TRUNC(C43*1.373,1)</f>
        <v>146.4</v>
      </c>
      <c r="D44" s="104">
        <f t="shared" si="7"/>
        <v>147</v>
      </c>
      <c r="E44" s="104">
        <f t="shared" si="7"/>
        <v>147.30000000000001</v>
      </c>
      <c r="F44" s="104">
        <f t="shared" si="7"/>
        <v>147.4</v>
      </c>
      <c r="G44" s="104">
        <f t="shared" si="7"/>
        <v>147.5</v>
      </c>
      <c r="H44" s="104">
        <f t="shared" si="7"/>
        <v>147.69999999999999</v>
      </c>
      <c r="I44" s="104">
        <f t="shared" si="7"/>
        <v>147.5</v>
      </c>
      <c r="J44" s="104">
        <f t="shared" si="7"/>
        <v>147.80000000000001</v>
      </c>
      <c r="K44" s="104">
        <f t="shared" si="7"/>
        <v>147.30000000000001</v>
      </c>
      <c r="L44" s="104">
        <f t="shared" si="7"/>
        <v>147.5</v>
      </c>
      <c r="M44" s="104">
        <f t="shared" si="7"/>
        <v>147.30000000000001</v>
      </c>
      <c r="N44" s="104">
        <f t="shared" si="7"/>
        <v>147.30000000000001</v>
      </c>
    </row>
    <row r="45" spans="1:14" ht="13.15" thickBot="1" x14ac:dyDescent="0.4">
      <c r="A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</row>
    <row r="46" spans="1:14" ht="13.15" thickBot="1" x14ac:dyDescent="0.4">
      <c r="A46" s="312" t="s">
        <v>212</v>
      </c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4"/>
    </row>
    <row r="47" spans="1:14" x14ac:dyDescent="0.35">
      <c r="A47" s="101"/>
    </row>
    <row r="48" spans="1:14" x14ac:dyDescent="0.35">
      <c r="A48" s="98" t="s">
        <v>209</v>
      </c>
    </row>
    <row r="49" spans="1:14" x14ac:dyDescent="0.35">
      <c r="A49" s="95" t="s">
        <v>213</v>
      </c>
    </row>
    <row r="50" spans="1:14" x14ac:dyDescent="0.35">
      <c r="C50" s="97">
        <f t="shared" ref="C50:N50" si="8">+C42+366</f>
        <v>42373</v>
      </c>
      <c r="D50" s="97">
        <f t="shared" si="8"/>
        <v>42404</v>
      </c>
      <c r="E50" s="97">
        <f t="shared" si="8"/>
        <v>42433</v>
      </c>
      <c r="F50" s="97">
        <f t="shared" si="8"/>
        <v>42464</v>
      </c>
      <c r="G50" s="97">
        <f t="shared" si="8"/>
        <v>42494</v>
      </c>
      <c r="H50" s="97">
        <f t="shared" si="8"/>
        <v>42525</v>
      </c>
      <c r="I50" s="97">
        <f t="shared" si="8"/>
        <v>42555</v>
      </c>
      <c r="J50" s="97">
        <f t="shared" si="8"/>
        <v>42586</v>
      </c>
      <c r="K50" s="97">
        <f t="shared" si="8"/>
        <v>42617</v>
      </c>
      <c r="L50" s="97">
        <f t="shared" si="8"/>
        <v>42647</v>
      </c>
      <c r="M50" s="97">
        <f t="shared" si="8"/>
        <v>42678</v>
      </c>
      <c r="N50" s="97">
        <f t="shared" si="8"/>
        <v>42708</v>
      </c>
    </row>
    <row r="51" spans="1:14" x14ac:dyDescent="0.35">
      <c r="A51" s="93" t="s">
        <v>207</v>
      </c>
      <c r="C51" s="104">
        <v>99.7</v>
      </c>
      <c r="D51" s="104">
        <v>99.5</v>
      </c>
      <c r="E51" s="104">
        <v>99.7</v>
      </c>
      <c r="F51" s="104">
        <v>99.6</v>
      </c>
      <c r="G51" s="104">
        <v>99.8</v>
      </c>
      <c r="H51" s="104">
        <v>100</v>
      </c>
      <c r="I51" s="104">
        <v>100.1</v>
      </c>
      <c r="J51" s="104">
        <v>100.3</v>
      </c>
      <c r="K51" s="104">
        <v>100.1</v>
      </c>
      <c r="L51" s="104">
        <v>100.1</v>
      </c>
      <c r="M51" s="104">
        <v>100</v>
      </c>
      <c r="N51" s="104">
        <v>100.4</v>
      </c>
    </row>
    <row r="52" spans="1:14" x14ac:dyDescent="0.35">
      <c r="A52" s="99" t="s">
        <v>210</v>
      </c>
      <c r="C52" s="104">
        <f t="shared" ref="C52:N52" si="9">+TRUNC(C51*1.071,1)</f>
        <v>106.7</v>
      </c>
      <c r="D52" s="104">
        <f t="shared" si="9"/>
        <v>106.5</v>
      </c>
      <c r="E52" s="104">
        <f t="shared" si="9"/>
        <v>106.7</v>
      </c>
      <c r="F52" s="104">
        <f t="shared" si="9"/>
        <v>106.6</v>
      </c>
      <c r="G52" s="104">
        <f t="shared" si="9"/>
        <v>106.8</v>
      </c>
      <c r="H52" s="104">
        <f t="shared" si="9"/>
        <v>107.1</v>
      </c>
      <c r="I52" s="104">
        <f t="shared" si="9"/>
        <v>107.2</v>
      </c>
      <c r="J52" s="104">
        <f t="shared" si="9"/>
        <v>107.4</v>
      </c>
      <c r="K52" s="104">
        <f t="shared" si="9"/>
        <v>107.2</v>
      </c>
      <c r="L52" s="104">
        <f t="shared" si="9"/>
        <v>107.2</v>
      </c>
      <c r="M52" s="104">
        <f t="shared" si="9"/>
        <v>107.1</v>
      </c>
      <c r="N52" s="104">
        <f t="shared" si="9"/>
        <v>107.5</v>
      </c>
    </row>
    <row r="53" spans="1:14" x14ac:dyDescent="0.35">
      <c r="A53" s="96" t="s">
        <v>208</v>
      </c>
      <c r="C53" s="104">
        <f t="shared" ref="C53:N53" si="10">+TRUNC(C52*1.373,1)</f>
        <v>146.4</v>
      </c>
      <c r="D53" s="104">
        <f t="shared" si="10"/>
        <v>146.19999999999999</v>
      </c>
      <c r="E53" s="104">
        <f t="shared" si="10"/>
        <v>146.4</v>
      </c>
      <c r="F53" s="104">
        <f t="shared" si="10"/>
        <v>146.30000000000001</v>
      </c>
      <c r="G53" s="104">
        <f t="shared" si="10"/>
        <v>146.6</v>
      </c>
      <c r="H53" s="104">
        <f t="shared" si="10"/>
        <v>147</v>
      </c>
      <c r="I53" s="104">
        <f t="shared" si="10"/>
        <v>147.1</v>
      </c>
      <c r="J53" s="104">
        <f t="shared" si="10"/>
        <v>147.4</v>
      </c>
      <c r="K53" s="104">
        <f t="shared" si="10"/>
        <v>147.1</v>
      </c>
      <c r="L53" s="104">
        <f t="shared" si="10"/>
        <v>147.1</v>
      </c>
      <c r="M53" s="104">
        <f t="shared" si="10"/>
        <v>147</v>
      </c>
      <c r="N53" s="104">
        <f t="shared" si="10"/>
        <v>147.5</v>
      </c>
    </row>
    <row r="54" spans="1:14" x14ac:dyDescent="0.35">
      <c r="C54" s="97">
        <f>+C50+366</f>
        <v>42739</v>
      </c>
      <c r="D54" s="97">
        <f t="shared" ref="D54:N54" si="11">+D50+366</f>
        <v>42770</v>
      </c>
      <c r="E54" s="97">
        <f t="shared" si="11"/>
        <v>42799</v>
      </c>
      <c r="F54" s="97">
        <f t="shared" si="11"/>
        <v>42830</v>
      </c>
      <c r="G54" s="97">
        <f t="shared" si="11"/>
        <v>42860</v>
      </c>
      <c r="H54" s="97">
        <f t="shared" si="11"/>
        <v>42891</v>
      </c>
      <c r="I54" s="97">
        <f t="shared" si="11"/>
        <v>42921</v>
      </c>
      <c r="J54" s="97">
        <f t="shared" si="11"/>
        <v>42952</v>
      </c>
      <c r="K54" s="97">
        <f t="shared" si="11"/>
        <v>42983</v>
      </c>
      <c r="L54" s="97">
        <f t="shared" si="11"/>
        <v>43013</v>
      </c>
      <c r="M54" s="97">
        <f t="shared" si="11"/>
        <v>43044</v>
      </c>
      <c r="N54" s="97">
        <f t="shared" si="11"/>
        <v>43074</v>
      </c>
    </row>
    <row r="55" spans="1:14" x14ac:dyDescent="0.35">
      <c r="A55" s="93" t="s">
        <v>207</v>
      </c>
      <c r="C55" s="104">
        <v>100.6</v>
      </c>
      <c r="D55" s="104">
        <v>101</v>
      </c>
      <c r="E55" s="104">
        <v>101</v>
      </c>
      <c r="F55" s="104">
        <v>101.3</v>
      </c>
      <c r="G55" s="104">
        <v>101.1</v>
      </c>
      <c r="H55" s="104">
        <v>101</v>
      </c>
      <c r="I55" s="104">
        <v>101</v>
      </c>
      <c r="J55" s="104">
        <v>101.4</v>
      </c>
      <c r="K55" s="104">
        <v>101.1</v>
      </c>
      <c r="L55" s="104">
        <v>101</v>
      </c>
      <c r="M55" s="104">
        <v>100.9</v>
      </c>
      <c r="N55" s="104">
        <v>101.2</v>
      </c>
    </row>
    <row r="56" spans="1:14" x14ac:dyDescent="0.35">
      <c r="A56" s="99" t="s">
        <v>210</v>
      </c>
      <c r="C56" s="104">
        <f t="shared" ref="C56:I56" si="12">+ROUND(C55*1.071,1)</f>
        <v>107.7</v>
      </c>
      <c r="D56" s="104">
        <f t="shared" si="12"/>
        <v>108.2</v>
      </c>
      <c r="E56" s="104">
        <f t="shared" si="12"/>
        <v>108.2</v>
      </c>
      <c r="F56" s="104">
        <f t="shared" si="12"/>
        <v>108.5</v>
      </c>
      <c r="G56" s="104">
        <f t="shared" si="12"/>
        <v>108.3</v>
      </c>
      <c r="H56" s="104">
        <f t="shared" si="12"/>
        <v>108.2</v>
      </c>
      <c r="I56" s="104">
        <f t="shared" si="12"/>
        <v>108.2</v>
      </c>
      <c r="J56" s="104">
        <f>+TRUNC(J55*1.071,1)</f>
        <v>108.5</v>
      </c>
      <c r="K56" s="104">
        <f>+TRUNC(K55*1.071,1)</f>
        <v>108.2</v>
      </c>
      <c r="L56" s="104">
        <f>+TRUNC(L55*1.071,1)</f>
        <v>108.1</v>
      </c>
      <c r="M56" s="104">
        <f>+TRUNC(M55*1.071,1)</f>
        <v>108</v>
      </c>
      <c r="N56" s="104">
        <f>+TRUNC(N55*1.071,1)</f>
        <v>108.3</v>
      </c>
    </row>
    <row r="57" spans="1:14" x14ac:dyDescent="0.35">
      <c r="A57" s="96" t="s">
        <v>208</v>
      </c>
      <c r="C57" s="104">
        <f t="shared" ref="C57:I57" si="13">+ROUND(C56*1.373,1)</f>
        <v>147.9</v>
      </c>
      <c r="D57" s="104">
        <f t="shared" si="13"/>
        <v>148.6</v>
      </c>
      <c r="E57" s="104">
        <f t="shared" si="13"/>
        <v>148.6</v>
      </c>
      <c r="F57" s="104">
        <f t="shared" si="13"/>
        <v>149</v>
      </c>
      <c r="G57" s="104">
        <f t="shared" si="13"/>
        <v>148.69999999999999</v>
      </c>
      <c r="H57" s="104">
        <f t="shared" si="13"/>
        <v>148.6</v>
      </c>
      <c r="I57" s="104">
        <f t="shared" si="13"/>
        <v>148.6</v>
      </c>
      <c r="J57" s="104">
        <f>+TRUNC(J56*1.373,1)</f>
        <v>148.9</v>
      </c>
      <c r="K57" s="104">
        <f>+TRUNC(K56*1.373,1)</f>
        <v>148.5</v>
      </c>
      <c r="L57" s="104">
        <f>+TRUNC(L56*1.373,1)</f>
        <v>148.4</v>
      </c>
      <c r="M57" s="104">
        <f>+TRUNC(M56*1.373,1)</f>
        <v>148.19999999999999</v>
      </c>
      <c r="N57" s="104">
        <f>+TRUNC(N56*1.373,1)</f>
        <v>148.6</v>
      </c>
    </row>
    <row r="58" spans="1:14" x14ac:dyDescent="0.35">
      <c r="C58" s="97">
        <f>+C54+366</f>
        <v>43105</v>
      </c>
      <c r="D58" s="97">
        <f t="shared" ref="D58:N58" si="14">+D54+366</f>
        <v>43136</v>
      </c>
      <c r="E58" s="97">
        <f t="shared" si="14"/>
        <v>43165</v>
      </c>
      <c r="F58" s="97">
        <f t="shared" si="14"/>
        <v>43196</v>
      </c>
      <c r="G58" s="97">
        <f t="shared" si="14"/>
        <v>43226</v>
      </c>
      <c r="H58" s="97">
        <f t="shared" si="14"/>
        <v>43257</v>
      </c>
      <c r="I58" s="97">
        <f t="shared" si="14"/>
        <v>43287</v>
      </c>
      <c r="J58" s="97">
        <f t="shared" si="14"/>
        <v>43318</v>
      </c>
      <c r="K58" s="97">
        <f t="shared" si="14"/>
        <v>43349</v>
      </c>
      <c r="L58" s="97">
        <f t="shared" si="14"/>
        <v>43379</v>
      </c>
      <c r="M58" s="97">
        <f t="shared" si="14"/>
        <v>43410</v>
      </c>
      <c r="N58" s="97">
        <f t="shared" si="14"/>
        <v>43440</v>
      </c>
    </row>
    <row r="59" spans="1:14" x14ac:dyDescent="0.35">
      <c r="A59" s="93" t="s">
        <v>207</v>
      </c>
      <c r="C59" s="104">
        <v>101.5</v>
      </c>
      <c r="D59" s="104">
        <v>101.5</v>
      </c>
      <c r="E59" s="104">
        <v>101.8</v>
      </c>
      <c r="F59" s="104">
        <v>101.8</v>
      </c>
      <c r="G59" s="104">
        <v>102.1</v>
      </c>
      <c r="H59" s="104">
        <v>102.3</v>
      </c>
      <c r="I59" s="104">
        <v>102.6</v>
      </c>
      <c r="J59" s="104">
        <v>103</v>
      </c>
      <c r="K59" s="104">
        <v>102.5</v>
      </c>
      <c r="L59" s="104">
        <v>102.5</v>
      </c>
      <c r="M59" s="104">
        <v>102.3</v>
      </c>
      <c r="N59" s="104">
        <v>102.2</v>
      </c>
    </row>
    <row r="60" spans="1:14" x14ac:dyDescent="0.35">
      <c r="A60" s="99" t="s">
        <v>210</v>
      </c>
      <c r="C60" s="104">
        <f t="shared" ref="C60:I60" si="15">+ROUND(C59*1.071,1)</f>
        <v>108.7</v>
      </c>
      <c r="D60" s="104">
        <f t="shared" si="15"/>
        <v>108.7</v>
      </c>
      <c r="E60" s="104">
        <f t="shared" si="15"/>
        <v>109</v>
      </c>
      <c r="F60" s="104">
        <f t="shared" si="15"/>
        <v>109</v>
      </c>
      <c r="G60" s="104">
        <f t="shared" si="15"/>
        <v>109.3</v>
      </c>
      <c r="H60" s="104">
        <f t="shared" si="15"/>
        <v>109.6</v>
      </c>
      <c r="I60" s="104">
        <f t="shared" si="15"/>
        <v>109.9</v>
      </c>
      <c r="J60" s="104">
        <f>+TRUNC(J59*1.071,1)</f>
        <v>110.3</v>
      </c>
      <c r="K60" s="104">
        <f>+TRUNC(K59*1.071,1)</f>
        <v>109.7</v>
      </c>
      <c r="L60" s="104">
        <f>+TRUNC(L59*1.071,1)</f>
        <v>109.7</v>
      </c>
      <c r="M60" s="104">
        <f>+TRUNC(M59*1.071,1)</f>
        <v>109.5</v>
      </c>
      <c r="N60" s="104">
        <f>+TRUNC(N59*1.071,1)</f>
        <v>109.4</v>
      </c>
    </row>
    <row r="61" spans="1:14" x14ac:dyDescent="0.35">
      <c r="A61" s="96" t="s">
        <v>208</v>
      </c>
      <c r="C61" s="104">
        <f t="shared" ref="C61:I61" si="16">+ROUND(C60*1.373,1)</f>
        <v>149.19999999999999</v>
      </c>
      <c r="D61" s="104">
        <f t="shared" si="16"/>
        <v>149.19999999999999</v>
      </c>
      <c r="E61" s="104">
        <f t="shared" si="16"/>
        <v>149.69999999999999</v>
      </c>
      <c r="F61" s="104">
        <f t="shared" si="16"/>
        <v>149.69999999999999</v>
      </c>
      <c r="G61" s="104">
        <f t="shared" si="16"/>
        <v>150.1</v>
      </c>
      <c r="H61" s="104">
        <f t="shared" si="16"/>
        <v>150.5</v>
      </c>
      <c r="I61" s="104">
        <f t="shared" si="16"/>
        <v>150.9</v>
      </c>
      <c r="J61" s="104">
        <f>+TRUNC(J60*1.373,1)</f>
        <v>151.4</v>
      </c>
      <c r="K61" s="104">
        <f>+TRUNC(K60*1.373,1)</f>
        <v>150.6</v>
      </c>
      <c r="L61" s="104">
        <f>+TRUNC(L60*1.373,1)</f>
        <v>150.6</v>
      </c>
      <c r="M61" s="104">
        <f>+TRUNC(M60*1.373,1)</f>
        <v>150.30000000000001</v>
      </c>
      <c r="N61" s="104">
        <f>+TRUNC(N60*1.373,1)</f>
        <v>150.19999999999999</v>
      </c>
    </row>
    <row r="62" spans="1:14" x14ac:dyDescent="0.35">
      <c r="C62" s="97">
        <f>+C58+366</f>
        <v>43471</v>
      </c>
      <c r="D62" s="97">
        <f t="shared" ref="D62:N62" si="17">+D58+366</f>
        <v>43502</v>
      </c>
      <c r="E62" s="97">
        <f t="shared" si="17"/>
        <v>43531</v>
      </c>
      <c r="F62" s="97">
        <f t="shared" si="17"/>
        <v>43562</v>
      </c>
      <c r="G62" s="97">
        <f t="shared" si="17"/>
        <v>43592</v>
      </c>
      <c r="H62" s="97">
        <f t="shared" si="17"/>
        <v>43623</v>
      </c>
      <c r="I62" s="97">
        <f t="shared" si="17"/>
        <v>43653</v>
      </c>
      <c r="J62" s="97">
        <f t="shared" si="17"/>
        <v>43684</v>
      </c>
      <c r="K62" s="97">
        <f t="shared" si="17"/>
        <v>43715</v>
      </c>
      <c r="L62" s="97">
        <f t="shared" si="17"/>
        <v>43745</v>
      </c>
      <c r="M62" s="97">
        <f t="shared" si="17"/>
        <v>43776</v>
      </c>
      <c r="N62" s="97">
        <f t="shared" si="17"/>
        <v>43806</v>
      </c>
    </row>
    <row r="63" spans="1:14" x14ac:dyDescent="0.35">
      <c r="A63" s="93" t="s">
        <v>207</v>
      </c>
      <c r="C63" s="104">
        <v>102.3</v>
      </c>
      <c r="D63" s="104">
        <v>102.4</v>
      </c>
      <c r="E63" s="104">
        <v>102.7</v>
      </c>
      <c r="F63" s="104">
        <v>102.7</v>
      </c>
      <c r="G63" s="104">
        <v>102.8</v>
      </c>
      <c r="H63" s="104">
        <v>102.9</v>
      </c>
      <c r="I63" s="104">
        <v>102.9</v>
      </c>
      <c r="J63" s="104">
        <v>103.3</v>
      </c>
      <c r="K63" s="104">
        <v>102.7</v>
      </c>
      <c r="L63" s="104">
        <v>102.6</v>
      </c>
      <c r="M63" s="104">
        <v>102.5</v>
      </c>
      <c r="N63" s="104">
        <v>102.6</v>
      </c>
    </row>
    <row r="64" spans="1:14" x14ac:dyDescent="0.35">
      <c r="A64" s="99" t="s">
        <v>210</v>
      </c>
      <c r="C64" s="104">
        <f t="shared" ref="C64:I64" si="18">+ROUND(C63*1.071,1)</f>
        <v>109.6</v>
      </c>
      <c r="D64" s="104">
        <f t="shared" si="18"/>
        <v>109.7</v>
      </c>
      <c r="E64" s="104">
        <f t="shared" si="18"/>
        <v>110</v>
      </c>
      <c r="F64" s="104">
        <f t="shared" si="18"/>
        <v>110</v>
      </c>
      <c r="G64" s="104">
        <f t="shared" si="18"/>
        <v>110.1</v>
      </c>
      <c r="H64" s="104">
        <f t="shared" si="18"/>
        <v>110.2</v>
      </c>
      <c r="I64" s="104">
        <f t="shared" si="18"/>
        <v>110.2</v>
      </c>
      <c r="J64" s="104">
        <f>+TRUNC(J63*1.071,1)</f>
        <v>110.6</v>
      </c>
      <c r="K64" s="104">
        <f>+TRUNC(K63*1.071,1)</f>
        <v>109.9</v>
      </c>
      <c r="L64" s="104">
        <f>+TRUNC(L63*1.071,1)</f>
        <v>109.8</v>
      </c>
      <c r="M64" s="104">
        <f>+TRUNC(M63*1.071,1)</f>
        <v>109.7</v>
      </c>
      <c r="N64" s="104">
        <f>+TRUNC(N63*1.071,1)</f>
        <v>109.8</v>
      </c>
    </row>
    <row r="65" spans="1:14" x14ac:dyDescent="0.35">
      <c r="A65" s="96" t="s">
        <v>208</v>
      </c>
      <c r="C65" s="104">
        <f t="shared" ref="C65:I65" si="19">+ROUND(C64*1.373,1)</f>
        <v>150.5</v>
      </c>
      <c r="D65" s="104">
        <f t="shared" si="19"/>
        <v>150.6</v>
      </c>
      <c r="E65" s="104">
        <f t="shared" si="19"/>
        <v>151</v>
      </c>
      <c r="F65" s="104">
        <f t="shared" si="19"/>
        <v>151</v>
      </c>
      <c r="G65" s="104">
        <f t="shared" si="19"/>
        <v>151.19999999999999</v>
      </c>
      <c r="H65" s="104">
        <f t="shared" si="19"/>
        <v>151.30000000000001</v>
      </c>
      <c r="I65" s="104">
        <f t="shared" si="19"/>
        <v>151.30000000000001</v>
      </c>
      <c r="J65" s="104">
        <f>+TRUNC(J64*1.373,1)</f>
        <v>151.80000000000001</v>
      </c>
      <c r="K65" s="104">
        <f>+TRUNC(K64*1.373,1)</f>
        <v>150.80000000000001</v>
      </c>
      <c r="L65" s="104">
        <f>+TRUNC(L64*1.373,1)</f>
        <v>150.69999999999999</v>
      </c>
      <c r="M65" s="104">
        <f>+TRUNC(M64*1.373,1)</f>
        <v>150.6</v>
      </c>
      <c r="N65" s="104">
        <f>+TRUNC(N64*1.373,1)</f>
        <v>150.69999999999999</v>
      </c>
    </row>
    <row r="66" spans="1:14" x14ac:dyDescent="0.35">
      <c r="C66" s="97">
        <f>+C62+366</f>
        <v>43837</v>
      </c>
      <c r="D66" s="97">
        <f t="shared" ref="D66:N66" si="20">+D62+366</f>
        <v>43868</v>
      </c>
      <c r="E66" s="97">
        <f t="shared" si="20"/>
        <v>43897</v>
      </c>
      <c r="F66" s="97">
        <f t="shared" si="20"/>
        <v>43928</v>
      </c>
      <c r="G66" s="97">
        <f t="shared" si="20"/>
        <v>43958</v>
      </c>
      <c r="H66" s="97">
        <f t="shared" si="20"/>
        <v>43989</v>
      </c>
      <c r="I66" s="97">
        <f t="shared" si="20"/>
        <v>44019</v>
      </c>
      <c r="J66" s="97">
        <f t="shared" si="20"/>
        <v>44050</v>
      </c>
      <c r="K66" s="97">
        <f t="shared" si="20"/>
        <v>44081</v>
      </c>
      <c r="L66" s="97">
        <f t="shared" si="20"/>
        <v>44111</v>
      </c>
      <c r="M66" s="97">
        <f t="shared" si="20"/>
        <v>44142</v>
      </c>
      <c r="N66" s="97">
        <f t="shared" si="20"/>
        <v>44172</v>
      </c>
    </row>
    <row r="67" spans="1:14" x14ac:dyDescent="0.35">
      <c r="A67" s="93" t="s">
        <v>207</v>
      </c>
      <c r="C67" s="104">
        <v>102.8</v>
      </c>
      <c r="D67" s="104">
        <v>102.7</v>
      </c>
      <c r="E67" s="104">
        <v>102.8</v>
      </c>
      <c r="F67" s="104">
        <v>102.7</v>
      </c>
      <c r="G67" s="104">
        <v>102.5</v>
      </c>
      <c r="H67" s="104">
        <v>102.6</v>
      </c>
      <c r="I67" s="104">
        <f>+O87</f>
        <v>102.5</v>
      </c>
      <c r="J67" s="104">
        <v>102.7</v>
      </c>
      <c r="K67" s="104">
        <v>102.1</v>
      </c>
      <c r="L67" s="104">
        <v>102.3</v>
      </c>
      <c r="M67" s="104">
        <v>102.2</v>
      </c>
      <c r="N67" s="104">
        <v>102.5</v>
      </c>
    </row>
    <row r="68" spans="1:14" x14ac:dyDescent="0.35">
      <c r="A68" s="99" t="s">
        <v>210</v>
      </c>
      <c r="C68" s="104">
        <f t="shared" ref="C68:I68" si="21">+ROUND(C67*1.071,1)</f>
        <v>110.1</v>
      </c>
      <c r="D68" s="104">
        <f t="shared" si="21"/>
        <v>110</v>
      </c>
      <c r="E68" s="104">
        <f t="shared" si="21"/>
        <v>110.1</v>
      </c>
      <c r="F68" s="104">
        <f t="shared" si="21"/>
        <v>110</v>
      </c>
      <c r="G68" s="104">
        <f t="shared" si="21"/>
        <v>109.8</v>
      </c>
      <c r="H68" s="104">
        <f t="shared" si="21"/>
        <v>109.9</v>
      </c>
      <c r="I68" s="104">
        <f t="shared" si="21"/>
        <v>109.8</v>
      </c>
      <c r="J68" s="104">
        <f>+TRUNC(J67*1.071,1)</f>
        <v>109.9</v>
      </c>
      <c r="K68" s="104">
        <f>+TRUNC(K67*1.071,1)</f>
        <v>109.3</v>
      </c>
      <c r="L68" s="104">
        <f>+TRUNC(L67*1.071,1)</f>
        <v>109.5</v>
      </c>
      <c r="M68" s="104">
        <f>+TRUNC(M67*1.071,1)</f>
        <v>109.4</v>
      </c>
      <c r="N68" s="104">
        <f>+TRUNC(N67*1.071,1)</f>
        <v>109.7</v>
      </c>
    </row>
    <row r="69" spans="1:14" x14ac:dyDescent="0.35">
      <c r="A69" s="96" t="s">
        <v>208</v>
      </c>
      <c r="C69" s="104">
        <f t="shared" ref="C69:I69" si="22">+ROUND(C68*1.373,1)</f>
        <v>151.19999999999999</v>
      </c>
      <c r="D69" s="104">
        <f t="shared" si="22"/>
        <v>151</v>
      </c>
      <c r="E69" s="104">
        <f t="shared" si="22"/>
        <v>151.19999999999999</v>
      </c>
      <c r="F69" s="104">
        <f t="shared" si="22"/>
        <v>151</v>
      </c>
      <c r="G69" s="104">
        <f t="shared" si="22"/>
        <v>150.80000000000001</v>
      </c>
      <c r="H69" s="104">
        <f t="shared" si="22"/>
        <v>150.9</v>
      </c>
      <c r="I69" s="104">
        <f t="shared" si="22"/>
        <v>150.80000000000001</v>
      </c>
      <c r="J69" s="104">
        <f>+TRUNC(J68*1.373,1)</f>
        <v>150.80000000000001</v>
      </c>
      <c r="K69" s="104">
        <f>+TRUNC(K68*1.373,1)</f>
        <v>150</v>
      </c>
      <c r="L69" s="104">
        <f>+TRUNC(L68*1.373,1)</f>
        <v>150.30000000000001</v>
      </c>
      <c r="M69" s="104">
        <f>+TRUNC(M68*1.373,1)</f>
        <v>150.19999999999999</v>
      </c>
      <c r="N69" s="104">
        <f>+TRUNC(N68*1.373,1)</f>
        <v>150.6</v>
      </c>
    </row>
    <row r="70" spans="1:14" x14ac:dyDescent="0.35">
      <c r="C70" s="97">
        <f>+C66+366</f>
        <v>44203</v>
      </c>
      <c r="D70" s="97">
        <f t="shared" ref="D70:N70" si="23">+D66+366</f>
        <v>44234</v>
      </c>
      <c r="E70" s="97">
        <f t="shared" si="23"/>
        <v>44263</v>
      </c>
      <c r="F70" s="97">
        <f t="shared" si="23"/>
        <v>44294</v>
      </c>
      <c r="G70" s="97">
        <f t="shared" si="23"/>
        <v>44324</v>
      </c>
      <c r="H70" s="97">
        <f t="shared" si="23"/>
        <v>44355</v>
      </c>
      <c r="I70" s="97">
        <f t="shared" si="23"/>
        <v>44385</v>
      </c>
      <c r="J70" s="97">
        <f t="shared" si="23"/>
        <v>44416</v>
      </c>
      <c r="K70" s="97">
        <f t="shared" si="23"/>
        <v>44447</v>
      </c>
      <c r="L70" s="97">
        <f t="shared" si="23"/>
        <v>44477</v>
      </c>
      <c r="M70" s="97">
        <f t="shared" si="23"/>
        <v>44508</v>
      </c>
      <c r="N70" s="97">
        <f t="shared" si="23"/>
        <v>44538</v>
      </c>
    </row>
    <row r="71" spans="1:14" x14ac:dyDescent="0.35">
      <c r="A71" s="93" t="s">
        <v>207</v>
      </c>
      <c r="C71" s="104">
        <v>103.1</v>
      </c>
      <c r="D71" s="104">
        <v>103.2</v>
      </c>
      <c r="E71" s="104">
        <v>103.6</v>
      </c>
      <c r="F71" s="104">
        <v>103.9</v>
      </c>
      <c r="G71" s="104">
        <v>103.9</v>
      </c>
      <c r="H71" s="104">
        <v>104</v>
      </c>
      <c r="I71" s="104">
        <v>104.4</v>
      </c>
      <c r="J71" s="104">
        <v>104.8</v>
      </c>
      <c r="K71" s="104">
        <v>104.7</v>
      </c>
      <c r="L71" s="104">
        <v>105.3</v>
      </c>
      <c r="M71" s="104">
        <v>105.9</v>
      </c>
      <c r="N71" s="104">
        <v>106.4</v>
      </c>
    </row>
    <row r="72" spans="1:14" x14ac:dyDescent="0.35">
      <c r="A72" s="99" t="s">
        <v>210</v>
      </c>
      <c r="C72" s="104">
        <f t="shared" ref="C72:I72" si="24">+ROUND(C71*1.071,1)</f>
        <v>110.4</v>
      </c>
      <c r="D72" s="104">
        <f t="shared" si="24"/>
        <v>110.5</v>
      </c>
      <c r="E72" s="104">
        <f t="shared" si="24"/>
        <v>111</v>
      </c>
      <c r="F72" s="104">
        <f t="shared" si="24"/>
        <v>111.3</v>
      </c>
      <c r="G72" s="104">
        <f t="shared" si="24"/>
        <v>111.3</v>
      </c>
      <c r="H72" s="104">
        <f t="shared" si="24"/>
        <v>111.4</v>
      </c>
      <c r="I72" s="104">
        <f t="shared" si="24"/>
        <v>111.8</v>
      </c>
      <c r="J72" s="104">
        <f>+TRUNC(J71*1.071,1)</f>
        <v>112.2</v>
      </c>
      <c r="K72" s="104">
        <f>+TRUNC(K71*1.071,1)</f>
        <v>112.1</v>
      </c>
      <c r="L72" s="104">
        <f>+TRUNC(L71*1.071,1)</f>
        <v>112.7</v>
      </c>
      <c r="M72" s="104">
        <f>+TRUNC(M71*1.071,1)</f>
        <v>113.4</v>
      </c>
      <c r="N72" s="104">
        <f>+TRUNC(N71*1.071,1)</f>
        <v>113.9</v>
      </c>
    </row>
    <row r="73" spans="1:14" x14ac:dyDescent="0.35">
      <c r="A73" s="96" t="s">
        <v>208</v>
      </c>
      <c r="C73" s="104">
        <f t="shared" ref="C73:I73" si="25">+ROUND(C72*1.373,1)</f>
        <v>151.6</v>
      </c>
      <c r="D73" s="104">
        <f t="shared" si="25"/>
        <v>151.69999999999999</v>
      </c>
      <c r="E73" s="104">
        <f t="shared" si="25"/>
        <v>152.4</v>
      </c>
      <c r="F73" s="104">
        <f t="shared" si="25"/>
        <v>152.80000000000001</v>
      </c>
      <c r="G73" s="104">
        <f t="shared" si="25"/>
        <v>152.80000000000001</v>
      </c>
      <c r="H73" s="104">
        <f t="shared" si="25"/>
        <v>153</v>
      </c>
      <c r="I73" s="104">
        <f t="shared" si="25"/>
        <v>153.5</v>
      </c>
      <c r="J73" s="104">
        <f>+TRUNC(J72*1.373,1)</f>
        <v>154</v>
      </c>
      <c r="K73" s="104">
        <f>+TRUNC(K72*1.373,1)</f>
        <v>153.9</v>
      </c>
      <c r="L73" s="104">
        <f>+TRUNC(L72*1.373,1)</f>
        <v>154.69999999999999</v>
      </c>
      <c r="M73" s="104">
        <f>+TRUNC(M72*1.373,1)</f>
        <v>155.6</v>
      </c>
      <c r="N73" s="104">
        <f>+TRUNC(N72*1.373,1)</f>
        <v>156.30000000000001</v>
      </c>
    </row>
    <row r="74" spans="1:14" x14ac:dyDescent="0.35">
      <c r="C74" s="97">
        <f>+C70+366</f>
        <v>44569</v>
      </c>
      <c r="D74" s="97">
        <f t="shared" ref="D74:N74" si="26">+D70+366</f>
        <v>44600</v>
      </c>
      <c r="E74" s="97">
        <f t="shared" si="26"/>
        <v>44629</v>
      </c>
      <c r="F74" s="97">
        <f t="shared" si="26"/>
        <v>44660</v>
      </c>
      <c r="G74" s="97">
        <f t="shared" si="26"/>
        <v>44690</v>
      </c>
      <c r="H74" s="97">
        <f t="shared" si="26"/>
        <v>44721</v>
      </c>
      <c r="I74" s="97">
        <f t="shared" si="26"/>
        <v>44751</v>
      </c>
      <c r="J74" s="97">
        <f t="shared" si="26"/>
        <v>44782</v>
      </c>
      <c r="K74" s="97">
        <f t="shared" si="26"/>
        <v>44813</v>
      </c>
      <c r="L74" s="97">
        <f t="shared" si="26"/>
        <v>44843</v>
      </c>
      <c r="M74" s="97">
        <f t="shared" si="26"/>
        <v>44874</v>
      </c>
      <c r="N74" s="97">
        <f t="shared" si="26"/>
        <v>44904</v>
      </c>
    </row>
    <row r="75" spans="1:14" x14ac:dyDescent="0.35">
      <c r="A75" s="93" t="s">
        <v>207</v>
      </c>
      <c r="C75" s="104">
        <v>107.8</v>
      </c>
      <c r="D75" s="104">
        <v>108.9</v>
      </c>
      <c r="E75" s="104">
        <v>109.9</v>
      </c>
      <c r="F75" s="104">
        <v>109.8</v>
      </c>
      <c r="G75" s="104">
        <v>110.6</v>
      </c>
      <c r="H75" s="104">
        <v>111.9</v>
      </c>
      <c r="I75" s="104">
        <v>112.3</v>
      </c>
      <c r="J75" s="104"/>
      <c r="K75" s="104"/>
      <c r="L75" s="104"/>
      <c r="M75" s="104"/>
      <c r="N75" s="104"/>
    </row>
    <row r="76" spans="1:14" x14ac:dyDescent="0.35">
      <c r="A76" s="99" t="s">
        <v>210</v>
      </c>
      <c r="C76" s="104">
        <f t="shared" ref="C76:I76" si="27">+ROUND(C75*1.071,1)</f>
        <v>115.5</v>
      </c>
      <c r="D76" s="104">
        <f t="shared" si="27"/>
        <v>116.6</v>
      </c>
      <c r="E76" s="104">
        <f t="shared" si="27"/>
        <v>117.7</v>
      </c>
      <c r="F76" s="104">
        <f t="shared" si="27"/>
        <v>117.6</v>
      </c>
      <c r="G76" s="104">
        <f t="shared" si="27"/>
        <v>118.5</v>
      </c>
      <c r="H76" s="104">
        <f t="shared" si="27"/>
        <v>119.8</v>
      </c>
      <c r="I76" s="104">
        <f t="shared" si="27"/>
        <v>120.3</v>
      </c>
      <c r="J76" s="104">
        <f>+TRUNC(J75*1.071,1)</f>
        <v>0</v>
      </c>
      <c r="K76" s="104">
        <f>+TRUNC(K75*1.071,1)</f>
        <v>0</v>
      </c>
      <c r="L76" s="104">
        <f>+TRUNC(L75*1.071,1)</f>
        <v>0</v>
      </c>
      <c r="M76" s="104">
        <f>+TRUNC(M75*1.071,1)</f>
        <v>0</v>
      </c>
      <c r="N76" s="104">
        <f>+TRUNC(N75*1.071,1)</f>
        <v>0</v>
      </c>
    </row>
    <row r="77" spans="1:14" x14ac:dyDescent="0.35">
      <c r="A77" s="96" t="s">
        <v>208</v>
      </c>
      <c r="C77" s="104">
        <f t="shared" ref="C77:I77" si="28">+ROUND(C76*1.373,1)</f>
        <v>158.6</v>
      </c>
      <c r="D77" s="104">
        <f t="shared" si="28"/>
        <v>160.1</v>
      </c>
      <c r="E77" s="104">
        <f t="shared" si="28"/>
        <v>161.6</v>
      </c>
      <c r="F77" s="104">
        <f t="shared" si="28"/>
        <v>161.5</v>
      </c>
      <c r="G77" s="104">
        <f t="shared" si="28"/>
        <v>162.69999999999999</v>
      </c>
      <c r="H77" s="104">
        <f t="shared" si="28"/>
        <v>164.5</v>
      </c>
      <c r="I77" s="104">
        <f t="shared" si="28"/>
        <v>165.2</v>
      </c>
      <c r="J77" s="104">
        <f>+TRUNC(J76*1.373,1)</f>
        <v>0</v>
      </c>
      <c r="K77" s="104">
        <f>+TRUNC(K76*1.373,1)</f>
        <v>0</v>
      </c>
      <c r="L77" s="104">
        <f>+TRUNC(L76*1.373,1)</f>
        <v>0</v>
      </c>
      <c r="M77" s="104">
        <f>+TRUNC(M76*1.373,1)</f>
        <v>0</v>
      </c>
      <c r="N77" s="104">
        <f>+TRUNC(N76*1.373,1)</f>
        <v>0</v>
      </c>
    </row>
    <row r="84" spans="1:15" x14ac:dyDescent="0.35">
      <c r="A84" s="292" t="s">
        <v>293</v>
      </c>
      <c r="C84" s="293">
        <v>43617</v>
      </c>
      <c r="D84" s="293">
        <v>43647</v>
      </c>
      <c r="E84" s="293">
        <v>43678</v>
      </c>
      <c r="F84" s="293">
        <v>43709</v>
      </c>
      <c r="G84" s="293">
        <v>43739</v>
      </c>
      <c r="H84" s="293">
        <v>43770</v>
      </c>
      <c r="I84" s="293">
        <v>43800</v>
      </c>
      <c r="J84" s="293">
        <v>43831</v>
      </c>
      <c r="K84" s="293">
        <v>43862</v>
      </c>
      <c r="L84" s="293">
        <v>43891</v>
      </c>
      <c r="M84" s="293">
        <v>43922</v>
      </c>
      <c r="N84" s="293">
        <v>43952</v>
      </c>
      <c r="O84" s="293">
        <v>43983</v>
      </c>
    </row>
    <row r="85" spans="1:15" x14ac:dyDescent="0.35">
      <c r="C85" s="294">
        <v>102.9</v>
      </c>
      <c r="D85" s="294">
        <v>102.9</v>
      </c>
      <c r="E85" s="294">
        <v>103.3</v>
      </c>
      <c r="F85" s="294">
        <v>102.7</v>
      </c>
      <c r="G85" s="294">
        <v>102.6</v>
      </c>
      <c r="H85" s="294">
        <v>102.5</v>
      </c>
      <c r="I85" s="294">
        <v>102.6</v>
      </c>
      <c r="J85" s="294">
        <v>102.8</v>
      </c>
      <c r="K85" s="294">
        <v>102.7</v>
      </c>
      <c r="L85" s="294">
        <v>102.8</v>
      </c>
      <c r="M85" s="294">
        <v>102.7</v>
      </c>
      <c r="N85" s="294">
        <v>102.5</v>
      </c>
      <c r="O85" s="294">
        <v>102.6</v>
      </c>
    </row>
    <row r="86" spans="1:15" x14ac:dyDescent="0.35">
      <c r="C86" s="293">
        <v>43647</v>
      </c>
      <c r="D86" s="293">
        <v>43678</v>
      </c>
      <c r="E86" s="293">
        <v>43709</v>
      </c>
      <c r="F86" s="293">
        <v>43739</v>
      </c>
      <c r="G86" s="293">
        <v>43770</v>
      </c>
      <c r="H86" s="293">
        <v>43800</v>
      </c>
      <c r="I86" s="293">
        <v>43831</v>
      </c>
      <c r="J86" s="293">
        <v>43862</v>
      </c>
      <c r="K86" s="293">
        <v>43891</v>
      </c>
      <c r="L86" s="293">
        <v>43922</v>
      </c>
      <c r="M86" s="293">
        <v>43952</v>
      </c>
      <c r="N86" s="293">
        <v>43983</v>
      </c>
      <c r="O86" s="293">
        <v>44013</v>
      </c>
    </row>
    <row r="87" spans="1:15" x14ac:dyDescent="0.35">
      <c r="C87" s="294">
        <v>102.9</v>
      </c>
      <c r="D87" s="294">
        <v>103.3</v>
      </c>
      <c r="E87" s="294">
        <v>102.7</v>
      </c>
      <c r="F87" s="294">
        <v>102.6</v>
      </c>
      <c r="G87" s="294">
        <v>102.5</v>
      </c>
      <c r="H87" s="294">
        <v>102.6</v>
      </c>
      <c r="I87" s="294">
        <v>102.8</v>
      </c>
      <c r="J87" s="294">
        <v>102.7</v>
      </c>
      <c r="K87" s="294">
        <v>102.8</v>
      </c>
      <c r="L87" s="294">
        <v>102.7</v>
      </c>
      <c r="M87" s="294">
        <v>102.5</v>
      </c>
      <c r="N87" s="294">
        <v>102.6</v>
      </c>
      <c r="O87" s="294">
        <v>102.5</v>
      </c>
    </row>
    <row r="88" spans="1:15" x14ac:dyDescent="0.35">
      <c r="C88" s="293">
        <v>43983</v>
      </c>
      <c r="D88" s="293">
        <f>+EOMONTH(C88,0)+1</f>
        <v>44013</v>
      </c>
      <c r="E88" s="293">
        <f t="shared" ref="E88:O90" si="29">+EOMONTH(D88,0)+1</f>
        <v>44044</v>
      </c>
      <c r="F88" s="293">
        <f t="shared" si="29"/>
        <v>44075</v>
      </c>
      <c r="G88" s="293">
        <f t="shared" si="29"/>
        <v>44105</v>
      </c>
      <c r="H88" s="293">
        <f t="shared" si="29"/>
        <v>44136</v>
      </c>
      <c r="I88" s="293">
        <f t="shared" si="29"/>
        <v>44166</v>
      </c>
      <c r="J88" s="293">
        <f t="shared" si="29"/>
        <v>44197</v>
      </c>
      <c r="K88" s="293">
        <f t="shared" si="29"/>
        <v>44228</v>
      </c>
      <c r="L88" s="293">
        <f t="shared" si="29"/>
        <v>44256</v>
      </c>
      <c r="M88" s="293">
        <f t="shared" si="29"/>
        <v>44287</v>
      </c>
      <c r="N88" s="293">
        <f t="shared" si="29"/>
        <v>44317</v>
      </c>
      <c r="O88" s="293">
        <f t="shared" si="29"/>
        <v>44348</v>
      </c>
    </row>
    <row r="89" spans="1:15" x14ac:dyDescent="0.35">
      <c r="C89" s="294">
        <v>102.5</v>
      </c>
      <c r="D89" s="294">
        <v>102.7</v>
      </c>
      <c r="E89" s="294">
        <v>102.1</v>
      </c>
      <c r="F89" s="294">
        <v>102.3</v>
      </c>
      <c r="G89" s="294">
        <v>102.2</v>
      </c>
      <c r="H89" s="294">
        <v>102.5</v>
      </c>
      <c r="I89" s="294">
        <v>103.1</v>
      </c>
      <c r="J89" s="294">
        <v>103.2</v>
      </c>
      <c r="K89" s="294">
        <v>103.6</v>
      </c>
      <c r="L89" s="294">
        <v>103.9</v>
      </c>
      <c r="M89" s="294">
        <v>103.9</v>
      </c>
      <c r="N89" s="294">
        <v>104</v>
      </c>
      <c r="O89" s="294">
        <v>104.4</v>
      </c>
    </row>
    <row r="90" spans="1:15" x14ac:dyDescent="0.35">
      <c r="C90" s="293">
        <v>44013</v>
      </c>
      <c r="D90" s="293">
        <f>+EOMONTH(C90,0)+1</f>
        <v>44044</v>
      </c>
      <c r="E90" s="293">
        <f t="shared" si="29"/>
        <v>44075</v>
      </c>
      <c r="F90" s="293">
        <f t="shared" si="29"/>
        <v>44105</v>
      </c>
      <c r="G90" s="293">
        <f t="shared" si="29"/>
        <v>44136</v>
      </c>
      <c r="H90" s="293">
        <f t="shared" si="29"/>
        <v>44166</v>
      </c>
      <c r="I90" s="293">
        <f t="shared" si="29"/>
        <v>44197</v>
      </c>
      <c r="J90" s="293">
        <f t="shared" si="29"/>
        <v>44228</v>
      </c>
      <c r="K90" s="293">
        <f t="shared" si="29"/>
        <v>44256</v>
      </c>
      <c r="L90" s="293">
        <f t="shared" si="29"/>
        <v>44287</v>
      </c>
      <c r="M90" s="293">
        <f t="shared" si="29"/>
        <v>44317</v>
      </c>
      <c r="N90" s="293">
        <f t="shared" si="29"/>
        <v>44348</v>
      </c>
      <c r="O90" s="293">
        <f t="shared" si="29"/>
        <v>44378</v>
      </c>
    </row>
    <row r="91" spans="1:15" x14ac:dyDescent="0.35">
      <c r="C91" s="308">
        <f>+J71</f>
        <v>104.8</v>
      </c>
      <c r="D91" s="308">
        <f>+K71</f>
        <v>104.7</v>
      </c>
      <c r="E91" s="308">
        <f t="shared" ref="E91:G91" si="30">+L71</f>
        <v>105.3</v>
      </c>
      <c r="F91" s="308">
        <f t="shared" si="30"/>
        <v>105.9</v>
      </c>
      <c r="G91" s="308">
        <f t="shared" si="30"/>
        <v>106.4</v>
      </c>
      <c r="H91" s="308">
        <f>+C75</f>
        <v>107.8</v>
      </c>
      <c r="I91" s="308">
        <f t="shared" ref="I91:N91" si="31">+D75</f>
        <v>108.9</v>
      </c>
      <c r="J91" s="308">
        <f t="shared" si="31"/>
        <v>109.9</v>
      </c>
      <c r="K91" s="308">
        <f t="shared" si="31"/>
        <v>109.8</v>
      </c>
      <c r="L91" s="308">
        <f t="shared" si="31"/>
        <v>110.6</v>
      </c>
      <c r="M91" s="308">
        <f t="shared" si="31"/>
        <v>111.9</v>
      </c>
      <c r="N91" s="308">
        <f t="shared" si="31"/>
        <v>112.3</v>
      </c>
      <c r="O91" s="294"/>
    </row>
    <row r="92" spans="1:15" x14ac:dyDescent="0.35">
      <c r="C92" s="293">
        <v>44416</v>
      </c>
      <c r="D92" s="293">
        <v>44447</v>
      </c>
      <c r="E92" s="293">
        <v>44477</v>
      </c>
      <c r="F92" s="293">
        <v>44508</v>
      </c>
      <c r="G92" s="293">
        <v>44538</v>
      </c>
      <c r="H92" s="293">
        <f t="shared" ref="H92" si="32">+EOMONTH(G92,0)+1</f>
        <v>44562</v>
      </c>
      <c r="I92" s="293">
        <f t="shared" ref="I92" si="33">+EOMONTH(H92,0)+1</f>
        <v>44593</v>
      </c>
      <c r="J92" s="293">
        <f t="shared" ref="J92" si="34">+EOMONTH(I92,0)+1</f>
        <v>44621</v>
      </c>
      <c r="K92" s="293">
        <f t="shared" ref="K92" si="35">+EOMONTH(J92,0)+1</f>
        <v>44652</v>
      </c>
      <c r="L92" s="293">
        <f t="shared" ref="L92" si="36">+EOMONTH(K92,0)+1</f>
        <v>44682</v>
      </c>
      <c r="M92" s="293">
        <f t="shared" ref="M92" si="37">+EOMONTH(L92,0)+1</f>
        <v>44713</v>
      </c>
      <c r="N92" s="293">
        <f t="shared" ref="N92" si="38">+EOMONTH(M92,0)+1</f>
        <v>44743</v>
      </c>
      <c r="O92" s="293">
        <f t="shared" ref="O92" si="39">+EOMONTH(N92,0)+1</f>
        <v>44774</v>
      </c>
    </row>
  </sheetData>
  <mergeCells count="4">
    <mergeCell ref="A4:B4"/>
    <mergeCell ref="A27:N27"/>
    <mergeCell ref="A2:N2"/>
    <mergeCell ref="A46:N46"/>
  </mergeCells>
  <hyperlinks>
    <hyperlink ref="A2" r:id="rId1" tooltip="Click once to display linked information. Click and hold to select this cell." display="http://dati1.istat.it/MetadataWebApplication/ShowMetadata.ashx?Dataset=DCSP_FOI1&amp;ShowOnWeb=true&amp;Lang=fr" xr:uid="{00000000-0004-0000-0200-000000000000}"/>
    <hyperlink ref="A27" r:id="rId2" tooltip="Click once to display linked information. Click and hold to select this cell." display="http://dati1.istat.it/MetadataWebApplication/ShowMetadata.ashx?Dataset=DCSP_FOI1&amp;ShowOnWeb=true&amp;Lang=fr" xr:uid="{00000000-0004-0000-0200-000001000000}"/>
    <hyperlink ref="A46" r:id="rId3" tooltip="Click once to display linked information. Click and hold to select this cell." display="http://dati1.istat.it/MetadataWebApplication/ShowMetadata.ashx?Dataset=DCSP_FOI1&amp;ShowOnWeb=true&amp;Lang=fr" xr:uid="{00000000-0004-0000-0200-000002000000}"/>
    <hyperlink ref="A84" r:id="rId4" xr:uid="{10EB038B-D286-4C95-8487-9665DF83B8A8}"/>
  </hyperlinks>
  <pageMargins left="0.31" right="0.28999999999999998" top="0.52" bottom="0.38" header="0.5" footer="0.38"/>
  <pageSetup scale="86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L33"/>
  <sheetViews>
    <sheetView showGridLines="0" workbookViewId="0">
      <selection activeCell="C31" sqref="C31"/>
    </sheetView>
  </sheetViews>
  <sheetFormatPr defaultRowHeight="12.75" x14ac:dyDescent="0.35"/>
  <cols>
    <col min="1" max="1" width="3.265625" customWidth="1"/>
    <col min="2" max="2" width="14.86328125" customWidth="1"/>
    <col min="3" max="3" width="15.265625" style="1" customWidth="1"/>
    <col min="4" max="4" width="2.59765625" customWidth="1"/>
    <col min="5" max="6" width="16.265625" customWidth="1"/>
    <col min="7" max="7" width="2.3984375" customWidth="1"/>
    <col min="8" max="12" width="16.265625" customWidth="1"/>
  </cols>
  <sheetData>
    <row r="3" spans="2:12" ht="13.15" x14ac:dyDescent="0.4">
      <c r="C3" s="80" t="s">
        <v>6</v>
      </c>
    </row>
    <row r="4" spans="2:12" x14ac:dyDescent="0.35">
      <c r="C4" s="148" t="s">
        <v>7</v>
      </c>
    </row>
    <row r="5" spans="2:12" x14ac:dyDescent="0.35">
      <c r="C5" s="48"/>
    </row>
    <row r="6" spans="2:12" x14ac:dyDescent="0.35">
      <c r="C6" s="48"/>
    </row>
    <row r="7" spans="2:12" x14ac:dyDescent="0.35">
      <c r="C7" s="48"/>
      <c r="E7" s="83" t="s">
        <v>248</v>
      </c>
      <c r="F7" s="83"/>
      <c r="H7" s="315" t="s">
        <v>256</v>
      </c>
      <c r="I7" s="315"/>
      <c r="J7" s="315"/>
      <c r="K7" s="315"/>
      <c r="L7" s="315"/>
    </row>
    <row r="8" spans="2:12" ht="38.25" x14ac:dyDescent="0.35">
      <c r="B8" t="s">
        <v>36</v>
      </c>
      <c r="C8" s="84" t="s">
        <v>257</v>
      </c>
      <c r="E8" s="149" t="s">
        <v>249</v>
      </c>
      <c r="F8" s="149" t="s">
        <v>250</v>
      </c>
      <c r="H8" s="149" t="s">
        <v>252</v>
      </c>
      <c r="I8" s="149" t="s">
        <v>253</v>
      </c>
      <c r="J8" s="149" t="s">
        <v>254</v>
      </c>
      <c r="K8" s="149" t="s">
        <v>255</v>
      </c>
      <c r="L8" s="149" t="s">
        <v>251</v>
      </c>
    </row>
    <row r="9" spans="2:12" ht="13.15" thickBot="1" x14ac:dyDescent="0.4">
      <c r="C9" s="1" t="s">
        <v>23</v>
      </c>
      <c r="D9" s="1"/>
      <c r="E9" s="1" t="s">
        <v>23</v>
      </c>
      <c r="F9" s="1" t="s">
        <v>23</v>
      </c>
      <c r="H9" s="1" t="s">
        <v>23</v>
      </c>
      <c r="I9" s="1"/>
      <c r="J9" s="1"/>
      <c r="K9" s="1"/>
      <c r="L9" s="1" t="s">
        <v>23</v>
      </c>
    </row>
    <row r="10" spans="2:12" ht="15.4" thickBot="1" x14ac:dyDescent="0.45">
      <c r="B10" s="21">
        <v>37012</v>
      </c>
      <c r="C10" s="82">
        <v>42.6</v>
      </c>
      <c r="E10" s="82" t="s">
        <v>239</v>
      </c>
      <c r="F10" s="82" t="s">
        <v>239</v>
      </c>
      <c r="H10" s="82"/>
      <c r="I10" s="82"/>
      <c r="J10" s="82"/>
      <c r="K10" s="82"/>
      <c r="L10" s="82"/>
    </row>
    <row r="11" spans="2:12" ht="15.4" thickBot="1" x14ac:dyDescent="0.45">
      <c r="B11" s="21">
        <v>37377</v>
      </c>
      <c r="C11" s="82">
        <v>37.5</v>
      </c>
      <c r="E11" s="82" t="s">
        <v>239</v>
      </c>
      <c r="F11" s="82" t="s">
        <v>239</v>
      </c>
      <c r="H11" s="82"/>
      <c r="I11" s="82"/>
      <c r="J11" s="82"/>
      <c r="K11" s="82"/>
      <c r="L11" s="82"/>
    </row>
    <row r="12" spans="2:12" ht="15.4" thickBot="1" x14ac:dyDescent="0.45">
      <c r="B12" s="21">
        <v>37742</v>
      </c>
      <c r="C12" s="82">
        <v>40</v>
      </c>
      <c r="E12" s="82" t="s">
        <v>239</v>
      </c>
      <c r="F12" s="152">
        <v>42.2</v>
      </c>
      <c r="H12" s="82"/>
      <c r="I12" s="82"/>
      <c r="J12" s="82"/>
      <c r="K12" s="82"/>
      <c r="L12" s="82"/>
    </row>
    <row r="13" spans="2:12" ht="15.4" thickBot="1" x14ac:dyDescent="0.45">
      <c r="B13" s="21">
        <v>38108</v>
      </c>
      <c r="C13" s="152">
        <v>42.2</v>
      </c>
      <c r="E13" s="82">
        <v>42.2</v>
      </c>
      <c r="F13" s="151">
        <v>44.5</v>
      </c>
      <c r="H13" s="82"/>
      <c r="I13" s="82"/>
      <c r="J13" s="82"/>
      <c r="K13" s="82"/>
      <c r="L13" s="82"/>
    </row>
    <row r="14" spans="2:12" ht="15.4" thickBot="1" x14ac:dyDescent="0.45">
      <c r="B14" s="21">
        <v>38473</v>
      </c>
      <c r="C14" s="151">
        <v>44.5</v>
      </c>
      <c r="E14" s="23">
        <v>44.5</v>
      </c>
      <c r="F14" s="82">
        <v>60.7</v>
      </c>
      <c r="H14" s="82"/>
      <c r="I14" s="82"/>
      <c r="J14" s="82"/>
      <c r="K14" s="82"/>
      <c r="L14" s="82"/>
    </row>
    <row r="15" spans="2:12" ht="15.4" thickBot="1" x14ac:dyDescent="0.45">
      <c r="B15" s="21">
        <v>38838</v>
      </c>
      <c r="C15" s="23">
        <v>44.5</v>
      </c>
      <c r="E15" s="155">
        <v>60.7</v>
      </c>
      <c r="F15" s="154">
        <v>73.2</v>
      </c>
      <c r="H15" s="82"/>
      <c r="I15" s="82"/>
      <c r="J15" s="82"/>
      <c r="K15" s="82"/>
      <c r="L15" s="82"/>
    </row>
    <row r="16" spans="2:12" ht="15.4" thickBot="1" x14ac:dyDescent="0.45">
      <c r="B16" s="21">
        <v>39203</v>
      </c>
      <c r="C16" s="155">
        <v>60.7</v>
      </c>
      <c r="E16" s="82">
        <v>60.5</v>
      </c>
      <c r="F16" s="153">
        <v>59.5</v>
      </c>
      <c r="H16" s="82"/>
      <c r="I16" s="82"/>
      <c r="J16" s="82"/>
      <c r="K16" s="82"/>
      <c r="L16" s="82"/>
    </row>
    <row r="17" spans="2:12" ht="15.4" thickBot="1" x14ac:dyDescent="0.45">
      <c r="B17" s="21">
        <v>39569</v>
      </c>
      <c r="C17" s="154">
        <v>73.2</v>
      </c>
      <c r="E17" s="82">
        <v>59.5</v>
      </c>
      <c r="F17" s="82">
        <v>77</v>
      </c>
      <c r="H17" s="82"/>
      <c r="I17" s="82"/>
      <c r="J17" s="82"/>
      <c r="K17" s="82"/>
      <c r="L17" s="82">
        <v>77</v>
      </c>
    </row>
    <row r="18" spans="2:12" ht="15.4" thickBot="1" x14ac:dyDescent="0.45">
      <c r="B18" s="21">
        <v>39934</v>
      </c>
      <c r="C18" s="153">
        <v>59.5</v>
      </c>
      <c r="E18" s="152">
        <v>74.7</v>
      </c>
      <c r="F18" s="82">
        <v>67.2</v>
      </c>
      <c r="H18" s="82"/>
      <c r="I18" s="82"/>
      <c r="J18" s="82"/>
      <c r="K18" s="82"/>
      <c r="L18" s="151">
        <v>67.2</v>
      </c>
    </row>
    <row r="19" spans="2:12" ht="15.4" thickBot="1" x14ac:dyDescent="0.45">
      <c r="B19" s="21">
        <v>40299</v>
      </c>
      <c r="C19" s="152">
        <v>74.7</v>
      </c>
      <c r="E19" s="151">
        <v>67.2</v>
      </c>
      <c r="F19" s="82">
        <v>65.900000000000006</v>
      </c>
      <c r="H19" s="82"/>
      <c r="I19" s="82"/>
      <c r="J19" s="82"/>
      <c r="K19" s="82"/>
      <c r="L19" s="23">
        <v>65.900000000000006</v>
      </c>
    </row>
    <row r="20" spans="2:12" ht="15.4" thickBot="1" x14ac:dyDescent="0.45">
      <c r="B20" s="21">
        <v>40664</v>
      </c>
      <c r="C20" s="151">
        <v>67.2</v>
      </c>
      <c r="E20" s="23">
        <v>65.900000000000006</v>
      </c>
      <c r="F20" s="82">
        <v>79.8</v>
      </c>
      <c r="H20" s="82"/>
      <c r="I20" s="82"/>
      <c r="J20" s="82"/>
      <c r="K20" s="82"/>
      <c r="L20" s="155">
        <v>79.8</v>
      </c>
    </row>
    <row r="21" spans="2:12" ht="15.4" thickBot="1" x14ac:dyDescent="0.45">
      <c r="B21" s="21">
        <v>41030</v>
      </c>
      <c r="C21" s="23">
        <v>65.900000000000006</v>
      </c>
      <c r="E21" s="155">
        <v>79.8</v>
      </c>
      <c r="F21" s="154">
        <v>96.3</v>
      </c>
      <c r="H21" s="82"/>
      <c r="I21" s="82"/>
      <c r="J21" s="82"/>
      <c r="K21" s="82"/>
      <c r="L21" s="154">
        <v>96.3</v>
      </c>
    </row>
    <row r="22" spans="2:12" ht="15.4" thickBot="1" x14ac:dyDescent="0.45">
      <c r="B22" s="21">
        <v>41395</v>
      </c>
      <c r="C22" s="155">
        <v>79.8</v>
      </c>
      <c r="E22" s="82">
        <v>79.8</v>
      </c>
      <c r="F22" s="153">
        <v>91.8</v>
      </c>
      <c r="H22" s="82"/>
      <c r="I22" s="82"/>
      <c r="J22" s="82"/>
      <c r="K22" s="82"/>
      <c r="L22" s="153">
        <v>91.8</v>
      </c>
    </row>
    <row r="23" spans="2:12" ht="15.4" thickBot="1" x14ac:dyDescent="0.45">
      <c r="B23" s="21">
        <v>41760</v>
      </c>
      <c r="C23" s="154">
        <v>96.3</v>
      </c>
      <c r="E23" s="82">
        <v>81.099999999999994</v>
      </c>
      <c r="F23" s="82">
        <v>72.5</v>
      </c>
      <c r="G23" s="81"/>
      <c r="H23" s="82">
        <v>81.099999999999994</v>
      </c>
      <c r="I23" s="82">
        <v>72.099999999999994</v>
      </c>
      <c r="J23" s="82">
        <v>61.9</v>
      </c>
      <c r="K23" s="82">
        <v>73.3</v>
      </c>
      <c r="L23" s="82">
        <v>72.5</v>
      </c>
    </row>
    <row r="24" spans="2:12" ht="15.4" thickBot="1" x14ac:dyDescent="0.45">
      <c r="B24" s="21">
        <v>42125</v>
      </c>
      <c r="C24" s="153">
        <v>91.8</v>
      </c>
      <c r="E24" s="82">
        <v>73.400000000000006</v>
      </c>
      <c r="F24" s="152">
        <v>67.599999999999994</v>
      </c>
      <c r="G24" s="81"/>
      <c r="H24" s="82">
        <v>73.400000000000006</v>
      </c>
      <c r="I24" s="82">
        <v>67.099999999999994</v>
      </c>
      <c r="J24" s="82">
        <v>64.400000000000006</v>
      </c>
      <c r="K24" s="82">
        <v>65.3</v>
      </c>
      <c r="L24" s="152">
        <v>67.599999999999994</v>
      </c>
    </row>
    <row r="25" spans="2:12" ht="15.4" thickBot="1" x14ac:dyDescent="0.45">
      <c r="B25" s="21">
        <v>42491</v>
      </c>
      <c r="C25" s="152">
        <v>67.599999999999994</v>
      </c>
      <c r="E25" s="82">
        <v>60.2</v>
      </c>
      <c r="F25" s="151">
        <v>51.8</v>
      </c>
      <c r="G25" s="81"/>
      <c r="H25" s="82">
        <v>60.2</v>
      </c>
      <c r="I25" s="82">
        <v>45.3</v>
      </c>
      <c r="J25" s="82">
        <v>47.8</v>
      </c>
      <c r="K25" s="82">
        <v>53.9</v>
      </c>
      <c r="L25" s="151">
        <v>51.8</v>
      </c>
    </row>
    <row r="26" spans="2:12" ht="15.4" thickBot="1" x14ac:dyDescent="0.45">
      <c r="B26" s="21">
        <v>42856</v>
      </c>
      <c r="C26" s="151">
        <v>51.8</v>
      </c>
      <c r="E26" s="82">
        <v>61.1</v>
      </c>
      <c r="F26" s="23">
        <v>58.1</v>
      </c>
      <c r="G26" s="81"/>
      <c r="H26" s="82">
        <v>61.1</v>
      </c>
      <c r="I26" s="82">
        <v>59.2</v>
      </c>
      <c r="J26" s="82">
        <v>53.7</v>
      </c>
      <c r="K26" s="82">
        <v>58.4</v>
      </c>
      <c r="L26" s="23">
        <v>58.1</v>
      </c>
    </row>
    <row r="27" spans="2:12" ht="15.4" thickBot="1" x14ac:dyDescent="0.45">
      <c r="B27" s="21">
        <v>43221</v>
      </c>
      <c r="C27" s="23">
        <v>58.1</v>
      </c>
      <c r="E27" s="82">
        <v>65.7</v>
      </c>
      <c r="F27" s="82" t="s">
        <v>239</v>
      </c>
      <c r="G27" s="81"/>
      <c r="H27" s="82">
        <v>65.7</v>
      </c>
      <c r="I27" s="82">
        <v>57.7</v>
      </c>
      <c r="J27" s="82">
        <v>69.8</v>
      </c>
      <c r="K27" s="82">
        <v>78.2</v>
      </c>
      <c r="L27" s="261">
        <v>67.8</v>
      </c>
    </row>
    <row r="28" spans="2:12" ht="15.4" thickBot="1" x14ac:dyDescent="0.45">
      <c r="B28" s="21">
        <v>43586</v>
      </c>
      <c r="C28" s="261">
        <v>67.8</v>
      </c>
      <c r="E28" s="82" t="s">
        <v>239</v>
      </c>
      <c r="F28" s="82"/>
      <c r="G28" s="81"/>
      <c r="H28" s="82">
        <v>80.099999999999994</v>
      </c>
      <c r="I28" s="82">
        <v>63.3</v>
      </c>
      <c r="J28" s="82">
        <v>51.2</v>
      </c>
      <c r="K28" s="82">
        <v>57.6</v>
      </c>
      <c r="L28" s="261">
        <v>62.6</v>
      </c>
    </row>
    <row r="29" spans="2:12" ht="15.4" thickBot="1" x14ac:dyDescent="0.45">
      <c r="B29" s="21">
        <v>43952</v>
      </c>
      <c r="C29" s="276">
        <v>62.6</v>
      </c>
      <c r="E29" s="82"/>
      <c r="F29" s="82"/>
      <c r="G29" s="81"/>
      <c r="H29" s="82">
        <v>59.8</v>
      </c>
      <c r="I29" s="82">
        <v>40.700000000000003</v>
      </c>
      <c r="J29" s="82">
        <v>32</v>
      </c>
      <c r="K29" s="82">
        <v>46.4</v>
      </c>
      <c r="L29" s="261">
        <v>44.8</v>
      </c>
    </row>
    <row r="30" spans="2:12" ht="15.4" thickBot="1" x14ac:dyDescent="0.45">
      <c r="B30" s="21">
        <v>44317</v>
      </c>
      <c r="C30" s="276">
        <v>44.8</v>
      </c>
      <c r="E30" s="82"/>
      <c r="F30" s="82"/>
      <c r="G30" s="81"/>
      <c r="H30" s="82">
        <v>52.7</v>
      </c>
      <c r="I30" s="82">
        <v>56.2</v>
      </c>
      <c r="J30" s="82"/>
      <c r="K30" s="82"/>
      <c r="L30" s="261">
        <v>77.3</v>
      </c>
    </row>
    <row r="31" spans="2:12" ht="15.4" thickBot="1" x14ac:dyDescent="0.45">
      <c r="B31" s="21">
        <v>44682</v>
      </c>
      <c r="C31" s="276">
        <v>77.3</v>
      </c>
      <c r="E31" s="82"/>
      <c r="F31" s="82"/>
      <c r="G31" s="81"/>
      <c r="H31" s="82"/>
      <c r="I31" s="82"/>
      <c r="J31" s="82"/>
      <c r="K31" s="82"/>
      <c r="L31" s="261"/>
    </row>
    <row r="32" spans="2:12" x14ac:dyDescent="0.35">
      <c r="C32"/>
    </row>
    <row r="33" spans="3:3" x14ac:dyDescent="0.35">
      <c r="C33"/>
    </row>
  </sheetData>
  <mergeCells count="1">
    <mergeCell ref="H7:L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56"/>
  <sheetViews>
    <sheetView showGridLines="0" workbookViewId="0">
      <selection activeCell="E15" sqref="E15"/>
    </sheetView>
  </sheetViews>
  <sheetFormatPr defaultColWidth="10.73046875" defaultRowHeight="15.75" x14ac:dyDescent="0.5"/>
  <cols>
    <col min="1" max="1" width="10.73046875" style="143"/>
    <col min="2" max="2" width="15.3984375" style="143" bestFit="1" customWidth="1"/>
    <col min="3" max="3" width="4.59765625" style="143" customWidth="1"/>
    <col min="4" max="4" width="10.73046875" style="143"/>
    <col min="5" max="5" width="11.265625" style="143" customWidth="1"/>
    <col min="6" max="16384" width="10.73046875" style="143"/>
  </cols>
  <sheetData>
    <row r="3" spans="1:5" x14ac:dyDescent="0.5">
      <c r="A3" s="143" t="s">
        <v>215</v>
      </c>
      <c r="B3" s="145" t="s">
        <v>216</v>
      </c>
    </row>
    <row r="4" spans="1:5" x14ac:dyDescent="0.5">
      <c r="A4" s="143" t="s">
        <v>217</v>
      </c>
      <c r="B4" s="143" t="s">
        <v>219</v>
      </c>
    </row>
    <row r="5" spans="1:5" x14ac:dyDescent="0.5">
      <c r="A5" s="143" t="s">
        <v>218</v>
      </c>
      <c r="B5" s="143" t="s">
        <v>220</v>
      </c>
    </row>
    <row r="6" spans="1:5" x14ac:dyDescent="0.5">
      <c r="D6" s="143" t="s">
        <v>237</v>
      </c>
      <c r="E6" s="143" t="s">
        <v>238</v>
      </c>
    </row>
    <row r="7" spans="1:5" x14ac:dyDescent="0.5">
      <c r="A7" s="143" t="s">
        <v>221</v>
      </c>
      <c r="D7" s="144">
        <v>41640</v>
      </c>
      <c r="E7" s="146">
        <v>24.74</v>
      </c>
    </row>
    <row r="8" spans="1:5" x14ac:dyDescent="0.5">
      <c r="D8" s="144">
        <v>42005</v>
      </c>
      <c r="E8" s="146">
        <v>24.91</v>
      </c>
    </row>
    <row r="9" spans="1:5" x14ac:dyDescent="0.5">
      <c r="D9" s="144">
        <v>42370</v>
      </c>
      <c r="E9" s="147">
        <v>24.96</v>
      </c>
    </row>
    <row r="10" spans="1:5" x14ac:dyDescent="0.5">
      <c r="D10" s="144">
        <v>42736</v>
      </c>
      <c r="E10" s="147">
        <v>25.2</v>
      </c>
    </row>
    <row r="11" spans="1:5" x14ac:dyDescent="0.5">
      <c r="D11" s="144">
        <v>42887</v>
      </c>
      <c r="E11" s="147">
        <v>25.28</v>
      </c>
    </row>
    <row r="12" spans="1:5" x14ac:dyDescent="0.5">
      <c r="D12" s="144">
        <v>43009</v>
      </c>
      <c r="E12" s="147">
        <v>25.3</v>
      </c>
    </row>
    <row r="13" spans="1:5" x14ac:dyDescent="0.5">
      <c r="D13" s="144">
        <v>43252</v>
      </c>
      <c r="E13" s="147">
        <v>25.42</v>
      </c>
    </row>
    <row r="14" spans="1:5" x14ac:dyDescent="0.5">
      <c r="D14" s="144">
        <v>43617</v>
      </c>
      <c r="E14" s="147">
        <v>25.7</v>
      </c>
    </row>
    <row r="15" spans="1:5" x14ac:dyDescent="0.5">
      <c r="D15" s="144">
        <v>43983</v>
      </c>
      <c r="E15" s="147">
        <v>25.78</v>
      </c>
    </row>
    <row r="16" spans="1:5" x14ac:dyDescent="0.5">
      <c r="D16" s="144">
        <v>44348</v>
      </c>
      <c r="E16" s="147">
        <v>26.24</v>
      </c>
    </row>
    <row r="17" spans="4:5" x14ac:dyDescent="0.5">
      <c r="D17" s="144">
        <v>44713</v>
      </c>
      <c r="E17" s="147">
        <v>26.47</v>
      </c>
    </row>
    <row r="56" spans="13:13" x14ac:dyDescent="0.5">
      <c r="M56" s="143" t="s">
        <v>214</v>
      </c>
    </row>
  </sheetData>
  <hyperlinks>
    <hyperlink ref="B3" r:id="rId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8"/>
  <sheetViews>
    <sheetView showGridLines="0" topLeftCell="B1" workbookViewId="0">
      <selection activeCell="K13" sqref="K13"/>
    </sheetView>
  </sheetViews>
  <sheetFormatPr defaultColWidth="9.1328125" defaultRowHeight="15.75" x14ac:dyDescent="0.6"/>
  <cols>
    <col min="1" max="2" width="4" style="159" customWidth="1"/>
    <col min="3" max="3" width="52.3984375" style="159" customWidth="1"/>
    <col min="4" max="12" width="13" style="159" customWidth="1"/>
    <col min="13" max="16384" width="9.1328125" style="159"/>
  </cols>
  <sheetData>
    <row r="1" spans="2:11" s="225" customFormat="1" x14ac:dyDescent="0.6"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2:11" s="225" customFormat="1" ht="16.149999999999999" thickBot="1" x14ac:dyDescent="0.65"/>
    <row r="3" spans="2:11" s="225" customFormat="1" ht="16.149999999999999" thickTop="1" x14ac:dyDescent="0.6">
      <c r="C3" s="226"/>
      <c r="D3" s="227"/>
      <c r="E3" s="227"/>
      <c r="F3" s="227"/>
      <c r="G3" s="227"/>
      <c r="H3" s="227"/>
      <c r="I3" s="227"/>
      <c r="J3" s="228"/>
    </row>
    <row r="4" spans="2:11" s="233" customFormat="1" x14ac:dyDescent="0.6">
      <c r="B4" s="225"/>
      <c r="C4" s="229"/>
      <c r="D4" s="230"/>
      <c r="E4" s="230"/>
      <c r="F4" s="230"/>
      <c r="G4" s="230"/>
      <c r="H4" s="230"/>
      <c r="I4" s="231" t="s">
        <v>222</v>
      </c>
      <c r="J4" s="232">
        <v>43647</v>
      </c>
    </row>
    <row r="5" spans="2:11" s="233" customFormat="1" x14ac:dyDescent="0.6">
      <c r="B5" s="225"/>
      <c r="C5" s="229"/>
      <c r="D5" s="230"/>
      <c r="E5" s="230"/>
      <c r="F5" s="230"/>
      <c r="G5" s="230"/>
      <c r="H5" s="230"/>
      <c r="I5" s="230"/>
      <c r="J5" s="234"/>
    </row>
    <row r="6" spans="2:11" s="233" customFormat="1" x14ac:dyDescent="0.6">
      <c r="B6" s="225"/>
      <c r="C6" s="229"/>
      <c r="D6" s="230"/>
      <c r="E6" s="230"/>
      <c r="F6" s="230"/>
      <c r="G6" s="230"/>
      <c r="H6" s="230"/>
      <c r="I6" s="230"/>
      <c r="J6" s="234"/>
    </row>
    <row r="7" spans="2:11" s="233" customFormat="1" ht="16.149999999999999" thickBot="1" x14ac:dyDescent="0.65">
      <c r="B7" s="225"/>
      <c r="C7" s="229"/>
      <c r="D7" s="230"/>
      <c r="E7" s="230"/>
      <c r="F7" s="230"/>
      <c r="G7" s="230"/>
      <c r="H7" s="230"/>
      <c r="I7" s="230"/>
      <c r="J7" s="234"/>
    </row>
    <row r="8" spans="2:11" s="225" customFormat="1" ht="16.5" thickTop="1" thickBot="1" x14ac:dyDescent="0.65">
      <c r="C8" s="316" t="s">
        <v>228</v>
      </c>
      <c r="D8" s="317"/>
      <c r="E8" s="317"/>
      <c r="F8" s="317"/>
      <c r="G8" s="317"/>
      <c r="H8" s="317"/>
      <c r="I8" s="317"/>
      <c r="J8" s="318"/>
    </row>
    <row r="9" spans="2:11" s="225" customFormat="1" ht="16.5" thickTop="1" thickBot="1" x14ac:dyDescent="0.65"/>
    <row r="10" spans="2:11" x14ac:dyDescent="0.6">
      <c r="C10" s="160" t="s">
        <v>37</v>
      </c>
      <c r="D10" s="161"/>
      <c r="E10" s="161"/>
      <c r="F10" s="161"/>
      <c r="G10" s="161"/>
      <c r="H10" s="215" t="s">
        <v>56</v>
      </c>
      <c r="I10" s="215"/>
      <c r="J10" s="216"/>
    </row>
    <row r="11" spans="2:11" x14ac:dyDescent="0.6">
      <c r="C11" s="163"/>
      <c r="D11" s="164"/>
      <c r="E11" s="164"/>
      <c r="F11" s="164"/>
      <c r="G11" s="164"/>
      <c r="H11" s="164"/>
      <c r="I11" s="164"/>
      <c r="J11" s="219"/>
    </row>
    <row r="12" spans="2:11" x14ac:dyDescent="0.6">
      <c r="C12" s="166"/>
      <c r="D12" s="167"/>
      <c r="E12" s="168">
        <v>41821</v>
      </c>
      <c r="F12" s="168">
        <v>42186</v>
      </c>
      <c r="G12" s="168">
        <v>42552</v>
      </c>
      <c r="H12" s="168">
        <v>42917</v>
      </c>
      <c r="I12" s="168">
        <v>43282</v>
      </c>
      <c r="J12" s="169">
        <v>43647</v>
      </c>
    </row>
    <row r="13" spans="2:11" x14ac:dyDescent="0.6">
      <c r="C13" s="208" t="s">
        <v>260</v>
      </c>
      <c r="D13" s="202" t="s">
        <v>23</v>
      </c>
      <c r="E13" s="203">
        <f>+'revisione prezzi N.R.'!F20</f>
        <v>22.5</v>
      </c>
      <c r="F13" s="203">
        <f>+'revisione prezzi N.R.'!G20</f>
        <v>22.52</v>
      </c>
      <c r="G13" s="203">
        <f>+'revisione prezzi N.R.'!H20</f>
        <v>22.46</v>
      </c>
      <c r="H13" s="203">
        <f>+'revisione prezzi N.R.'!I20</f>
        <v>22.66</v>
      </c>
      <c r="I13" s="203">
        <f>+'revisione prezzi N.R.'!J20</f>
        <v>23.02</v>
      </c>
      <c r="J13" s="220">
        <f>+'revisione prezzi N.R.'!K20</f>
        <v>23.09</v>
      </c>
    </row>
    <row r="14" spans="2:11" x14ac:dyDescent="0.6">
      <c r="C14" s="209" t="s">
        <v>261</v>
      </c>
      <c r="D14" s="204" t="s">
        <v>49</v>
      </c>
      <c r="E14" s="205">
        <f>+'revisione prezzi N.R.'!F22</f>
        <v>4.68</v>
      </c>
      <c r="F14" s="205">
        <f>+'revisione prezzi N.R.'!G22</f>
        <v>4.68</v>
      </c>
      <c r="G14" s="205">
        <f>+'revisione prezzi N.R.'!H22</f>
        <v>4.67</v>
      </c>
      <c r="H14" s="205">
        <f>+'revisione prezzi N.R.'!I22</f>
        <v>4.71</v>
      </c>
      <c r="I14" s="205">
        <f>+'revisione prezzi N.R.'!J22</f>
        <v>4.79</v>
      </c>
      <c r="J14" s="221">
        <f>+'revisione prezzi N.R.'!K22</f>
        <v>4.8</v>
      </c>
    </row>
    <row r="15" spans="2:11" x14ac:dyDescent="0.6">
      <c r="C15" s="210" t="s">
        <v>58</v>
      </c>
      <c r="D15" s="206"/>
      <c r="E15" s="223">
        <f>+'revisione prezzi N.R.'!F28</f>
        <v>0.121603</v>
      </c>
      <c r="F15" s="223">
        <f>+'revisione prezzi N.R.'!G28</f>
        <v>0.12529100000000001</v>
      </c>
      <c r="G15" s="223">
        <f>+'revisione prezzi N.R.'!H28</f>
        <v>0.13536400000000001</v>
      </c>
      <c r="H15" s="223">
        <f>+'revisione prezzi N.R.'!I28</f>
        <v>0.14238999999999999</v>
      </c>
      <c r="I15" s="223">
        <f>+'revisione prezzi N.R.'!J28</f>
        <v>0.14319000000000001</v>
      </c>
      <c r="J15" s="262">
        <f>+'revisione prezzi N.R.'!K28</f>
        <v>0.157359</v>
      </c>
    </row>
    <row r="16" spans="2:11" x14ac:dyDescent="0.6">
      <c r="C16" s="177" t="s">
        <v>57</v>
      </c>
      <c r="D16" s="174" t="s">
        <v>35</v>
      </c>
      <c r="E16" s="191">
        <f t="shared" ref="E16:J16" si="0">+E15*300</f>
        <v>36.480899999999998</v>
      </c>
      <c r="F16" s="191">
        <f t="shared" si="0"/>
        <v>37.587300000000006</v>
      </c>
      <c r="G16" s="191">
        <f t="shared" si="0"/>
        <v>40.609200000000001</v>
      </c>
      <c r="H16" s="191">
        <f t="shared" si="0"/>
        <v>42.716999999999999</v>
      </c>
      <c r="I16" s="191">
        <f t="shared" si="0"/>
        <v>42.957000000000001</v>
      </c>
      <c r="J16" s="190">
        <f t="shared" si="0"/>
        <v>47.207700000000003</v>
      </c>
    </row>
    <row r="17" spans="1:10" x14ac:dyDescent="0.6">
      <c r="C17" s="177" t="s">
        <v>40</v>
      </c>
      <c r="D17" s="178" t="s">
        <v>224</v>
      </c>
      <c r="E17" s="192">
        <v>0.1</v>
      </c>
      <c r="F17" s="192">
        <v>0.1</v>
      </c>
      <c r="G17" s="192">
        <v>0.1</v>
      </c>
      <c r="H17" s="192">
        <v>0.1</v>
      </c>
      <c r="I17" s="192">
        <v>0.1</v>
      </c>
      <c r="J17" s="193">
        <v>0.1</v>
      </c>
    </row>
    <row r="18" spans="1:10" x14ac:dyDescent="0.6">
      <c r="C18" s="177" t="s">
        <v>41</v>
      </c>
      <c r="D18" s="178" t="s">
        <v>259</v>
      </c>
      <c r="E18" s="191">
        <f t="shared" ref="E18:J18" si="1">(300*E14+E16*E13)*(1+E17)</f>
        <v>2447.302275</v>
      </c>
      <c r="F18" s="191">
        <f t="shared" si="1"/>
        <v>2475.5125956000002</v>
      </c>
      <c r="G18" s="191">
        <f t="shared" si="1"/>
        <v>2544.3908952000002</v>
      </c>
      <c r="H18" s="191">
        <f t="shared" si="1"/>
        <v>2619.0639420000002</v>
      </c>
      <c r="I18" s="191">
        <f t="shared" si="1"/>
        <v>2668.4571540000002</v>
      </c>
      <c r="J18" s="190">
        <f t="shared" si="1"/>
        <v>2783.0283722999998</v>
      </c>
    </row>
    <row r="19" spans="1:10" x14ac:dyDescent="0.6">
      <c r="C19" s="177" t="s">
        <v>42</v>
      </c>
      <c r="D19" s="178" t="s">
        <v>23</v>
      </c>
      <c r="E19" s="191">
        <f>+'revisione prezzi N.R.'!F30</f>
        <v>21.946999999999999</v>
      </c>
      <c r="F19" s="191">
        <f>+'revisione prezzi N.R.'!G30</f>
        <v>21.946999999999999</v>
      </c>
      <c r="G19" s="191">
        <f>+'revisione prezzi N.R.'!H30</f>
        <v>21.946999999999999</v>
      </c>
      <c r="H19" s="191">
        <f>+'revisione prezzi N.R.'!I30</f>
        <v>21.946999999999999</v>
      </c>
      <c r="I19" s="191">
        <f>+'revisione prezzi N.R.'!J30</f>
        <v>21.946999999999999</v>
      </c>
      <c r="J19" s="190">
        <f>+'revisione prezzi N.R.'!K30</f>
        <v>21.946999999999999</v>
      </c>
    </row>
    <row r="20" spans="1:10" x14ac:dyDescent="0.6">
      <c r="C20" s="197" t="s">
        <v>43</v>
      </c>
      <c r="D20" s="198" t="s">
        <v>259</v>
      </c>
      <c r="E20" s="217">
        <f t="shared" ref="E20:J20" si="2">-+E19*E16</f>
        <v>-800.64631229999998</v>
      </c>
      <c r="F20" s="217">
        <f t="shared" si="2"/>
        <v>-824.92847310000013</v>
      </c>
      <c r="G20" s="217">
        <f t="shared" si="2"/>
        <v>-891.25011240000003</v>
      </c>
      <c r="H20" s="217">
        <f t="shared" si="2"/>
        <v>-937.50999899999999</v>
      </c>
      <c r="I20" s="217">
        <f t="shared" si="2"/>
        <v>-942.77727900000002</v>
      </c>
      <c r="J20" s="218">
        <f t="shared" si="2"/>
        <v>-1036.0673919000001</v>
      </c>
    </row>
    <row r="21" spans="1:10" x14ac:dyDescent="0.6">
      <c r="A21" s="164"/>
      <c r="B21" s="164"/>
      <c r="C21" s="211" t="s">
        <v>33</v>
      </c>
      <c r="D21" s="212" t="s">
        <v>28</v>
      </c>
      <c r="E21" s="213">
        <f t="shared" ref="E21:J21" si="3">+E18+E20</f>
        <v>1646.6559627000001</v>
      </c>
      <c r="F21" s="213">
        <f t="shared" si="3"/>
        <v>1650.5841224999999</v>
      </c>
      <c r="G21" s="213">
        <f t="shared" si="3"/>
        <v>1653.1407828000001</v>
      </c>
      <c r="H21" s="213">
        <f t="shared" si="3"/>
        <v>1681.5539430000003</v>
      </c>
      <c r="I21" s="213">
        <f t="shared" si="3"/>
        <v>1725.6798750000003</v>
      </c>
      <c r="J21" s="214">
        <f t="shared" si="3"/>
        <v>1746.9609803999997</v>
      </c>
    </row>
    <row r="22" spans="1:10" ht="16.149999999999999" thickBot="1" x14ac:dyDescent="0.65">
      <c r="C22" s="183"/>
      <c r="D22" s="167"/>
      <c r="E22" s="187"/>
      <c r="F22" s="187"/>
      <c r="G22" s="187"/>
      <c r="H22" s="187"/>
      <c r="I22" s="187"/>
      <c r="J22" s="188"/>
    </row>
    <row r="23" spans="1:10" x14ac:dyDescent="0.6">
      <c r="B23" s="225"/>
      <c r="C23" s="160" t="s">
        <v>37</v>
      </c>
      <c r="D23" s="161"/>
      <c r="E23" s="161"/>
      <c r="F23" s="161"/>
      <c r="G23" s="161"/>
      <c r="H23" s="162" t="s">
        <v>55</v>
      </c>
      <c r="I23" s="162"/>
      <c r="J23" s="196"/>
    </row>
    <row r="24" spans="1:10" x14ac:dyDescent="0.6">
      <c r="B24" s="225"/>
      <c r="C24" s="163"/>
      <c r="D24" s="164"/>
      <c r="E24" s="164"/>
      <c r="F24" s="164"/>
      <c r="G24" s="164"/>
      <c r="H24" s="164"/>
      <c r="I24" s="164"/>
      <c r="J24" s="165"/>
    </row>
    <row r="25" spans="1:10" x14ac:dyDescent="0.6">
      <c r="C25" s="166"/>
      <c r="D25" s="167"/>
      <c r="E25" s="168">
        <v>41760</v>
      </c>
      <c r="F25" s="168">
        <v>42125</v>
      </c>
      <c r="G25" s="168">
        <v>42491</v>
      </c>
      <c r="H25" s="168">
        <v>42856</v>
      </c>
      <c r="I25" s="168">
        <v>43221</v>
      </c>
      <c r="J25" s="169">
        <v>43586</v>
      </c>
    </row>
    <row r="26" spans="1:10" x14ac:dyDescent="0.6">
      <c r="C26" s="170" t="s">
        <v>32</v>
      </c>
      <c r="D26" s="171" t="s">
        <v>23</v>
      </c>
      <c r="E26" s="172">
        <f>+'revisione prezzi V.R. '!S24</f>
        <v>130.08647599999998</v>
      </c>
      <c r="F26" s="172">
        <f>+'revisione prezzi V.R. '!T24</f>
        <v>129.288512</v>
      </c>
      <c r="G26" s="172">
        <f>+'revisione prezzi V.R. '!U24</f>
        <v>123.822</v>
      </c>
      <c r="H26" s="172">
        <f>+'revisione prezzi V.R. '!V24</f>
        <v>121.85002</v>
      </c>
      <c r="I26" s="172">
        <f>+'revisione prezzi V.R. '!W24</f>
        <v>124.46404</v>
      </c>
      <c r="J26" s="172">
        <f>+'revisione prezzi V.R. '!X24</f>
        <v>126.885448</v>
      </c>
    </row>
    <row r="27" spans="1:10" x14ac:dyDescent="0.6">
      <c r="C27" s="173" t="s">
        <v>38</v>
      </c>
      <c r="D27" s="174" t="s">
        <v>35</v>
      </c>
      <c r="E27" s="175">
        <f t="shared" ref="E27:J27" si="4">ROUND(300*50.6/1000,2)</f>
        <v>15.18</v>
      </c>
      <c r="F27" s="175">
        <f t="shared" si="4"/>
        <v>15.18</v>
      </c>
      <c r="G27" s="175">
        <f t="shared" si="4"/>
        <v>15.18</v>
      </c>
      <c r="H27" s="175">
        <f t="shared" si="4"/>
        <v>15.18</v>
      </c>
      <c r="I27" s="175">
        <f t="shared" si="4"/>
        <v>15.18</v>
      </c>
      <c r="J27" s="176">
        <f t="shared" si="4"/>
        <v>15.18</v>
      </c>
    </row>
    <row r="28" spans="1:10" x14ac:dyDescent="0.6">
      <c r="C28" s="177" t="s">
        <v>39</v>
      </c>
      <c r="D28" s="178" t="s">
        <v>259</v>
      </c>
      <c r="E28" s="179">
        <f t="shared" ref="E28:J28" si="5">+ROUND(E27*E26,2)</f>
        <v>1974.71</v>
      </c>
      <c r="F28" s="179">
        <f t="shared" si="5"/>
        <v>1962.6</v>
      </c>
      <c r="G28" s="179">
        <f t="shared" si="5"/>
        <v>1879.62</v>
      </c>
      <c r="H28" s="179">
        <f t="shared" si="5"/>
        <v>1849.68</v>
      </c>
      <c r="I28" s="179">
        <f t="shared" si="5"/>
        <v>1889.36</v>
      </c>
      <c r="J28" s="180">
        <f t="shared" si="5"/>
        <v>1926.12</v>
      </c>
    </row>
    <row r="29" spans="1:10" x14ac:dyDescent="0.6">
      <c r="C29" s="177" t="s">
        <v>40</v>
      </c>
      <c r="D29" s="178" t="s">
        <v>224</v>
      </c>
      <c r="E29" s="181">
        <v>0.1</v>
      </c>
      <c r="F29" s="181">
        <v>0.1</v>
      </c>
      <c r="G29" s="181">
        <v>0.1</v>
      </c>
      <c r="H29" s="181">
        <v>0.1</v>
      </c>
      <c r="I29" s="181">
        <v>0.1</v>
      </c>
      <c r="J29" s="182">
        <v>0.1</v>
      </c>
    </row>
    <row r="30" spans="1:10" x14ac:dyDescent="0.6">
      <c r="C30" s="177" t="s">
        <v>41</v>
      </c>
      <c r="D30" s="178" t="s">
        <v>259</v>
      </c>
      <c r="E30" s="179">
        <f t="shared" ref="E30:J30" si="6">+E28*(1+E29)</f>
        <v>2172.181</v>
      </c>
      <c r="F30" s="179">
        <f t="shared" si="6"/>
        <v>2158.86</v>
      </c>
      <c r="G30" s="179">
        <f t="shared" si="6"/>
        <v>2067.5819999999999</v>
      </c>
      <c r="H30" s="179">
        <f t="shared" si="6"/>
        <v>2034.6480000000001</v>
      </c>
      <c r="I30" s="179">
        <f t="shared" si="6"/>
        <v>2078.2960000000003</v>
      </c>
      <c r="J30" s="180">
        <f t="shared" si="6"/>
        <v>2118.732</v>
      </c>
    </row>
    <row r="31" spans="1:10" x14ac:dyDescent="0.6">
      <c r="C31" s="177" t="s">
        <v>42</v>
      </c>
      <c r="D31" s="178" t="s">
        <v>23</v>
      </c>
      <c r="E31" s="179">
        <f>+'revisione prezzi V.R. '!S31</f>
        <v>21.946999999999999</v>
      </c>
      <c r="F31" s="179">
        <f>+'revisione prezzi V.R. '!T31</f>
        <v>21.946999999999999</v>
      </c>
      <c r="G31" s="179">
        <f>+'revisione prezzi V.R. '!U31</f>
        <v>21.946999999999999</v>
      </c>
      <c r="H31" s="179">
        <f>+'revisione prezzi V.R. '!V31</f>
        <v>21.946999999999999</v>
      </c>
      <c r="I31" s="179">
        <f>+'revisione prezzi V.R. '!W31</f>
        <v>21.946999999999999</v>
      </c>
      <c r="J31" s="180">
        <f>+'revisione prezzi V.R. '!X31</f>
        <v>21.946999999999999</v>
      </c>
    </row>
    <row r="32" spans="1:10" x14ac:dyDescent="0.6">
      <c r="C32" s="197" t="s">
        <v>43</v>
      </c>
      <c r="D32" s="198" t="s">
        <v>259</v>
      </c>
      <c r="E32" s="199">
        <f t="shared" ref="E32:J32" si="7">-ROUND(E31*E27,2)</f>
        <v>-333.16</v>
      </c>
      <c r="F32" s="199">
        <f t="shared" si="7"/>
        <v>-333.16</v>
      </c>
      <c r="G32" s="199">
        <f t="shared" si="7"/>
        <v>-333.16</v>
      </c>
      <c r="H32" s="199">
        <f t="shared" si="7"/>
        <v>-333.16</v>
      </c>
      <c r="I32" s="199">
        <f t="shared" si="7"/>
        <v>-333.16</v>
      </c>
      <c r="J32" s="200">
        <f t="shared" si="7"/>
        <v>-333.16</v>
      </c>
    </row>
    <row r="33" spans="1:10" x14ac:dyDescent="0.6">
      <c r="A33" s="164"/>
      <c r="B33" s="164"/>
      <c r="C33" s="184" t="s">
        <v>33</v>
      </c>
      <c r="D33" s="201" t="s">
        <v>28</v>
      </c>
      <c r="E33" s="185">
        <f t="shared" ref="E33:J33" si="8">+E30+E32</f>
        <v>1839.021</v>
      </c>
      <c r="F33" s="185">
        <f t="shared" si="8"/>
        <v>1825.7</v>
      </c>
      <c r="G33" s="185">
        <f t="shared" si="8"/>
        <v>1734.4219999999998</v>
      </c>
      <c r="H33" s="185">
        <f t="shared" si="8"/>
        <v>1701.4880000000001</v>
      </c>
      <c r="I33" s="185">
        <f t="shared" si="8"/>
        <v>1745.1360000000002</v>
      </c>
      <c r="J33" s="186">
        <f t="shared" si="8"/>
        <v>1785.5719999999999</v>
      </c>
    </row>
    <row r="34" spans="1:10" ht="16.149999999999999" thickBot="1" x14ac:dyDescent="0.65">
      <c r="C34" s="183"/>
      <c r="D34" s="167"/>
      <c r="E34" s="187"/>
      <c r="F34" s="187"/>
      <c r="G34" s="187"/>
      <c r="H34" s="187"/>
      <c r="I34" s="187"/>
      <c r="J34" s="188"/>
    </row>
    <row r="35" spans="1:10" ht="31.5" x14ac:dyDescent="0.6">
      <c r="C35" s="222" t="s">
        <v>241</v>
      </c>
      <c r="D35" s="161"/>
      <c r="E35" s="194">
        <f t="shared" ref="E35:J35" si="9">+E21-E33</f>
        <v>-192.36503729999981</v>
      </c>
      <c r="F35" s="194">
        <f t="shared" si="9"/>
        <v>-175.11587750000012</v>
      </c>
      <c r="G35" s="194">
        <f t="shared" si="9"/>
        <v>-81.281217199999674</v>
      </c>
      <c r="H35" s="194">
        <f t="shared" si="9"/>
        <v>-19.934056999999711</v>
      </c>
      <c r="I35" s="194">
        <f t="shared" si="9"/>
        <v>-19.456124999999929</v>
      </c>
      <c r="J35" s="194">
        <f t="shared" si="9"/>
        <v>-38.611019600000191</v>
      </c>
    </row>
    <row r="36" spans="1:10" ht="16.149999999999999" thickBot="1" x14ac:dyDescent="0.65">
      <c r="E36" s="195">
        <f t="shared" ref="E36:J36" si="10">+E35/E33</f>
        <v>-0.10460187094111477</v>
      </c>
      <c r="F36" s="195">
        <f t="shared" si="10"/>
        <v>-9.591711535301535E-2</v>
      </c>
      <c r="G36" s="195">
        <f t="shared" si="10"/>
        <v>-4.6863575992463012E-2</v>
      </c>
      <c r="H36" s="195">
        <f t="shared" si="10"/>
        <v>-1.1715661232991188E-2</v>
      </c>
      <c r="I36" s="195">
        <f t="shared" si="10"/>
        <v>-1.1148772932310105E-2</v>
      </c>
      <c r="J36" s="195">
        <f t="shared" si="10"/>
        <v>-2.1623893967871469E-2</v>
      </c>
    </row>
    <row r="37" spans="1:10" ht="31.5" x14ac:dyDescent="0.6">
      <c r="C37" s="222" t="s">
        <v>242</v>
      </c>
      <c r="D37" s="161"/>
      <c r="E37" s="194">
        <f t="shared" ref="E37:J37" si="11">+E18/1.1-E28</f>
        <v>250.11024999999972</v>
      </c>
      <c r="F37" s="194">
        <f t="shared" si="11"/>
        <v>287.865996</v>
      </c>
      <c r="G37" s="194">
        <f t="shared" si="11"/>
        <v>433.46263200000021</v>
      </c>
      <c r="H37" s="194">
        <f t="shared" si="11"/>
        <v>531.28721999999993</v>
      </c>
      <c r="I37" s="194">
        <f t="shared" si="11"/>
        <v>536.51014000000009</v>
      </c>
      <c r="J37" s="194">
        <f t="shared" si="11"/>
        <v>603.9057929999999</v>
      </c>
    </row>
    <row r="38" spans="1:10" x14ac:dyDescent="0.6">
      <c r="E38" s="195">
        <f t="shared" ref="E38:J38" si="12">+E37/E28</f>
        <v>0.12665669895832793</v>
      </c>
      <c r="F38" s="195">
        <f t="shared" si="12"/>
        <v>0.14667583613573831</v>
      </c>
      <c r="G38" s="195">
        <f t="shared" si="12"/>
        <v>0.23061184281929339</v>
      </c>
      <c r="H38" s="195">
        <f t="shared" si="12"/>
        <v>0.28723196444790444</v>
      </c>
      <c r="I38" s="195">
        <f t="shared" si="12"/>
        <v>0.28396395604860913</v>
      </c>
      <c r="J38" s="195">
        <f t="shared" si="12"/>
        <v>0.31353487477415737</v>
      </c>
    </row>
  </sheetData>
  <mergeCells count="1">
    <mergeCell ref="C8:J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53"/>
  <sheetViews>
    <sheetView showGridLines="0" topLeftCell="A16" zoomScaleNormal="100" workbookViewId="0">
      <selection activeCell="J14" sqref="J14"/>
    </sheetView>
  </sheetViews>
  <sheetFormatPr defaultColWidth="9.1328125" defaultRowHeight="15.75" x14ac:dyDescent="0.6"/>
  <cols>
    <col min="1" max="2" width="4" style="225" customWidth="1"/>
    <col min="3" max="3" width="52.3984375" style="225" customWidth="1"/>
    <col min="4" max="12" width="13" style="225" customWidth="1"/>
    <col min="13" max="16384" width="9.1328125" style="225"/>
  </cols>
  <sheetData>
    <row r="1" spans="2:11" x14ac:dyDescent="0.6"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2:11" ht="16.149999999999999" thickBot="1" x14ac:dyDescent="0.65"/>
    <row r="3" spans="2:11" ht="16.149999999999999" thickTop="1" x14ac:dyDescent="0.6">
      <c r="C3" s="226"/>
      <c r="D3" s="227"/>
      <c r="E3" s="227"/>
      <c r="F3" s="227"/>
      <c r="G3" s="227"/>
      <c r="H3" s="227"/>
      <c r="I3" s="227"/>
      <c r="J3" s="228"/>
    </row>
    <row r="4" spans="2:11" s="233" customFormat="1" x14ac:dyDescent="0.6">
      <c r="B4" s="225"/>
      <c r="C4" s="229"/>
      <c r="D4" s="230"/>
      <c r="E4" s="230"/>
      <c r="F4" s="230"/>
      <c r="G4" s="230"/>
      <c r="H4" s="230"/>
      <c r="I4" s="231" t="s">
        <v>222</v>
      </c>
      <c r="J4" s="232">
        <v>43647</v>
      </c>
    </row>
    <row r="5" spans="2:11" s="233" customFormat="1" x14ac:dyDescent="0.6">
      <c r="B5" s="225"/>
      <c r="C5" s="229"/>
      <c r="D5" s="230"/>
      <c r="E5" s="230"/>
      <c r="F5" s="230"/>
      <c r="G5" s="230"/>
      <c r="H5" s="230"/>
      <c r="I5" s="230"/>
      <c r="J5" s="234"/>
    </row>
    <row r="6" spans="2:11" s="233" customFormat="1" x14ac:dyDescent="0.6">
      <c r="B6" s="225"/>
      <c r="C6" s="229"/>
      <c r="D6" s="230"/>
      <c r="E6" s="230"/>
      <c r="F6" s="230"/>
      <c r="G6" s="230"/>
      <c r="H6" s="230"/>
      <c r="I6" s="230"/>
      <c r="J6" s="234"/>
    </row>
    <row r="7" spans="2:11" s="233" customFormat="1" ht="16.149999999999999" thickBot="1" x14ac:dyDescent="0.65">
      <c r="B7" s="225"/>
      <c r="C7" s="229"/>
      <c r="D7" s="230"/>
      <c r="E7" s="230"/>
      <c r="F7" s="230"/>
      <c r="G7" s="230"/>
      <c r="H7" s="230"/>
      <c r="I7" s="230"/>
      <c r="J7" s="234"/>
    </row>
    <row r="8" spans="2:11" ht="16.5" thickTop="1" thickBot="1" x14ac:dyDescent="0.65">
      <c r="C8" s="316" t="s">
        <v>228</v>
      </c>
      <c r="D8" s="317"/>
      <c r="E8" s="317"/>
      <c r="F8" s="317"/>
      <c r="G8" s="317"/>
      <c r="H8" s="317"/>
      <c r="I8" s="317"/>
      <c r="J8" s="318"/>
    </row>
    <row r="9" spans="2:11" ht="16.5" thickTop="1" thickBot="1" x14ac:dyDescent="0.65">
      <c r="C9" s="183"/>
      <c r="D9" s="167"/>
      <c r="E9" s="187"/>
      <c r="F9" s="187"/>
      <c r="G9" s="187"/>
      <c r="H9" s="187"/>
      <c r="I9" s="187"/>
      <c r="J9" s="240"/>
    </row>
    <row r="10" spans="2:11" s="159" customFormat="1" x14ac:dyDescent="0.6">
      <c r="C10" s="160" t="s">
        <v>37</v>
      </c>
      <c r="D10" s="161"/>
      <c r="E10" s="161"/>
      <c r="F10" s="161"/>
      <c r="G10" s="161"/>
      <c r="H10" s="215" t="s">
        <v>56</v>
      </c>
      <c r="I10" s="215"/>
      <c r="J10" s="216"/>
    </row>
    <row r="11" spans="2:11" s="159" customFormat="1" x14ac:dyDescent="0.6">
      <c r="C11" s="163"/>
      <c r="D11" s="164"/>
      <c r="E11" s="164"/>
      <c r="F11" s="164"/>
      <c r="G11" s="164"/>
      <c r="H11" s="164"/>
      <c r="I11" s="164"/>
      <c r="J11" s="219"/>
    </row>
    <row r="12" spans="2:11" s="159" customFormat="1" x14ac:dyDescent="0.6">
      <c r="C12" s="166"/>
      <c r="D12" s="167"/>
      <c r="E12" s="168">
        <v>41821</v>
      </c>
      <c r="F12" s="168">
        <v>42186</v>
      </c>
      <c r="G12" s="168">
        <v>42552</v>
      </c>
      <c r="H12" s="168">
        <v>42917</v>
      </c>
      <c r="I12" s="168">
        <v>43282</v>
      </c>
      <c r="J12" s="169">
        <v>43647</v>
      </c>
    </row>
    <row r="13" spans="2:11" s="159" customFormat="1" x14ac:dyDescent="0.6">
      <c r="C13" s="208" t="s">
        <v>260</v>
      </c>
      <c r="D13" s="202" t="s">
        <v>23</v>
      </c>
      <c r="E13" s="203">
        <f>+'revisione prezzi N.R.'!F20</f>
        <v>22.5</v>
      </c>
      <c r="F13" s="203">
        <f>+'revisione prezzi N.R.'!G20</f>
        <v>22.52</v>
      </c>
      <c r="G13" s="203">
        <f>+'revisione prezzi N.R.'!H20</f>
        <v>22.46</v>
      </c>
      <c r="H13" s="203">
        <f>+'revisione prezzi N.R.'!I20</f>
        <v>22.66</v>
      </c>
      <c r="I13" s="203">
        <f>+'revisione prezzi N.R.'!J20</f>
        <v>23.02</v>
      </c>
      <c r="J13" s="220">
        <f>+'revisione prezzi N.R.'!K20</f>
        <v>23.09</v>
      </c>
    </row>
    <row r="14" spans="2:11" s="159" customFormat="1" x14ac:dyDescent="0.6">
      <c r="C14" s="209" t="s">
        <v>261</v>
      </c>
      <c r="D14" s="204" t="s">
        <v>49</v>
      </c>
      <c r="E14" s="205">
        <f>+'revisione prezzi N.R.'!F22</f>
        <v>4.68</v>
      </c>
      <c r="F14" s="205">
        <f>+'revisione prezzi N.R.'!G22</f>
        <v>4.68</v>
      </c>
      <c r="G14" s="205">
        <f>+'revisione prezzi N.R.'!H22</f>
        <v>4.67</v>
      </c>
      <c r="H14" s="205">
        <f>+'revisione prezzi N.R.'!I22</f>
        <v>4.71</v>
      </c>
      <c r="I14" s="205">
        <f>+'revisione prezzi N.R.'!J22</f>
        <v>4.79</v>
      </c>
      <c r="J14" s="221">
        <f>+'revisione prezzi N.R.'!K22</f>
        <v>4.8</v>
      </c>
    </row>
    <row r="15" spans="2:11" s="159" customFormat="1" x14ac:dyDescent="0.6">
      <c r="C15" s="210" t="s">
        <v>58</v>
      </c>
      <c r="D15" s="206"/>
      <c r="E15" s="223">
        <f>+'revisione prezzi N.R.'!F28</f>
        <v>0.121603</v>
      </c>
      <c r="F15" s="223">
        <f>+'revisione prezzi N.R.'!G28</f>
        <v>0.12529100000000001</v>
      </c>
      <c r="G15" s="223">
        <f>+'revisione prezzi N.R.'!H28</f>
        <v>0.13536400000000001</v>
      </c>
      <c r="H15" s="223">
        <f>+'revisione prezzi N.R.'!I28</f>
        <v>0.14238999999999999</v>
      </c>
      <c r="I15" s="223">
        <f>+'revisione prezzi N.R.'!J28</f>
        <v>0.14319000000000001</v>
      </c>
      <c r="J15" s="223">
        <f>+'revisione prezzi N.R.'!K28</f>
        <v>0.157359</v>
      </c>
    </row>
    <row r="16" spans="2:11" s="159" customFormat="1" x14ac:dyDescent="0.6">
      <c r="C16" s="177" t="s">
        <v>263</v>
      </c>
      <c r="D16" s="174" t="s">
        <v>27</v>
      </c>
      <c r="E16" s="191">
        <f t="shared" ref="E16:J16" si="0">+E15*300</f>
        <v>36.480899999999998</v>
      </c>
      <c r="F16" s="191">
        <f t="shared" si="0"/>
        <v>37.587300000000006</v>
      </c>
      <c r="G16" s="191">
        <f t="shared" si="0"/>
        <v>40.609200000000001</v>
      </c>
      <c r="H16" s="191">
        <f t="shared" si="0"/>
        <v>42.716999999999999</v>
      </c>
      <c r="I16" s="191">
        <f t="shared" si="0"/>
        <v>42.957000000000001</v>
      </c>
      <c r="J16" s="190">
        <f t="shared" si="0"/>
        <v>47.207700000000003</v>
      </c>
    </row>
    <row r="17" spans="2:11" s="159" customFormat="1" x14ac:dyDescent="0.6">
      <c r="C17" s="177" t="s">
        <v>40</v>
      </c>
      <c r="D17" s="178" t="s">
        <v>224</v>
      </c>
      <c r="E17" s="192">
        <v>0.1</v>
      </c>
      <c r="F17" s="192">
        <v>0.1</v>
      </c>
      <c r="G17" s="192">
        <v>0.1</v>
      </c>
      <c r="H17" s="192">
        <v>0.1</v>
      </c>
      <c r="I17" s="192">
        <v>0.1</v>
      </c>
      <c r="J17" s="193">
        <v>0.1</v>
      </c>
    </row>
    <row r="18" spans="2:11" s="159" customFormat="1" x14ac:dyDescent="0.6">
      <c r="C18" s="177" t="s">
        <v>41</v>
      </c>
      <c r="D18" s="178" t="s">
        <v>259</v>
      </c>
      <c r="E18" s="191">
        <f t="shared" ref="E18:J18" si="1">(300*E14+E16*E13)*(1+E17)</f>
        <v>2447.302275</v>
      </c>
      <c r="F18" s="191">
        <f t="shared" si="1"/>
        <v>2475.5125956000002</v>
      </c>
      <c r="G18" s="191">
        <f t="shared" si="1"/>
        <v>2544.3908952000002</v>
      </c>
      <c r="H18" s="191">
        <f t="shared" si="1"/>
        <v>2619.0639420000002</v>
      </c>
      <c r="I18" s="191">
        <f t="shared" si="1"/>
        <v>2668.4571540000002</v>
      </c>
      <c r="J18" s="190">
        <f t="shared" si="1"/>
        <v>2783.0283722999998</v>
      </c>
    </row>
    <row r="19" spans="2:11" s="159" customFormat="1" x14ac:dyDescent="0.6">
      <c r="C19" s="177" t="s">
        <v>42</v>
      </c>
      <c r="D19" s="178" t="s">
        <v>23</v>
      </c>
      <c r="E19" s="191">
        <f>+'revisione prezzi N.R.'!F30</f>
        <v>21.946999999999999</v>
      </c>
      <c r="F19" s="191">
        <f>+'revisione prezzi N.R.'!G30</f>
        <v>21.946999999999999</v>
      </c>
      <c r="G19" s="191">
        <f>+'revisione prezzi N.R.'!H30</f>
        <v>21.946999999999999</v>
      </c>
      <c r="H19" s="191">
        <f>+'revisione prezzi N.R.'!I30</f>
        <v>21.946999999999999</v>
      </c>
      <c r="I19" s="191">
        <f>+'revisione prezzi N.R.'!J30</f>
        <v>21.946999999999999</v>
      </c>
      <c r="J19" s="190">
        <f>+'revisione prezzi N.R.'!K30</f>
        <v>21.946999999999999</v>
      </c>
    </row>
    <row r="20" spans="2:11" s="159" customFormat="1" x14ac:dyDescent="0.6">
      <c r="C20" s="197" t="s">
        <v>43</v>
      </c>
      <c r="D20" s="198" t="s">
        <v>259</v>
      </c>
      <c r="E20" s="217">
        <f t="shared" ref="E20:J20" si="2">-+E19*E16</f>
        <v>-800.64631229999998</v>
      </c>
      <c r="F20" s="217">
        <f t="shared" si="2"/>
        <v>-824.92847310000013</v>
      </c>
      <c r="G20" s="217">
        <f t="shared" si="2"/>
        <v>-891.25011240000003</v>
      </c>
      <c r="H20" s="217">
        <f t="shared" si="2"/>
        <v>-937.50999899999999</v>
      </c>
      <c r="I20" s="217">
        <f t="shared" si="2"/>
        <v>-942.77727900000002</v>
      </c>
      <c r="J20" s="218">
        <f t="shared" si="2"/>
        <v>-1036.0673919000001</v>
      </c>
    </row>
    <row r="21" spans="2:11" s="159" customFormat="1" x14ac:dyDescent="0.6">
      <c r="B21" s="164"/>
      <c r="C21" s="211" t="s">
        <v>33</v>
      </c>
      <c r="D21" s="212" t="s">
        <v>28</v>
      </c>
      <c r="E21" s="213">
        <f t="shared" ref="E21:J21" si="3">+E18+E20</f>
        <v>1646.6559627000001</v>
      </c>
      <c r="F21" s="213">
        <f t="shared" si="3"/>
        <v>1650.5841224999999</v>
      </c>
      <c r="G21" s="213">
        <f t="shared" si="3"/>
        <v>1653.1407828000001</v>
      </c>
      <c r="H21" s="213">
        <f t="shared" si="3"/>
        <v>1681.5539430000003</v>
      </c>
      <c r="I21" s="213">
        <f t="shared" si="3"/>
        <v>1725.6798750000003</v>
      </c>
      <c r="J21" s="214">
        <f t="shared" si="3"/>
        <v>1746.9609803999997</v>
      </c>
    </row>
    <row r="22" spans="2:11" s="159" customFormat="1" ht="16.149999999999999" thickBot="1" x14ac:dyDescent="0.65"/>
    <row r="23" spans="2:11" ht="16.149999999999999" thickBot="1" x14ac:dyDescent="0.65">
      <c r="B23" s="159"/>
      <c r="C23" s="319" t="s">
        <v>229</v>
      </c>
      <c r="D23" s="320"/>
      <c r="E23" s="320"/>
      <c r="F23" s="320"/>
      <c r="G23" s="320"/>
      <c r="H23" s="320"/>
      <c r="I23" s="320"/>
      <c r="J23" s="321"/>
      <c r="K23" s="159"/>
    </row>
    <row r="24" spans="2:11" x14ac:dyDescent="0.6">
      <c r="C24" s="247" t="s">
        <v>29</v>
      </c>
      <c r="D24" s="248"/>
      <c r="E24" s="168">
        <v>41821</v>
      </c>
      <c r="F24" s="168">
        <v>42186</v>
      </c>
      <c r="G24" s="168">
        <v>42552</v>
      </c>
      <c r="H24" s="168">
        <v>42917</v>
      </c>
      <c r="I24" s="168">
        <v>43282</v>
      </c>
      <c r="J24" s="169">
        <v>43647</v>
      </c>
    </row>
    <row r="25" spans="2:11" ht="15" customHeight="1" x14ac:dyDescent="0.6">
      <c r="C25" s="237" t="s">
        <v>232</v>
      </c>
      <c r="D25" s="178" t="s">
        <v>25</v>
      </c>
      <c r="E25" s="243">
        <v>1.3974800000000001</v>
      </c>
      <c r="F25" s="243">
        <v>1.2356</v>
      </c>
      <c r="G25" s="243">
        <v>1.1049199999999999</v>
      </c>
      <c r="H25" s="243">
        <v>1.12385</v>
      </c>
      <c r="I25" s="243">
        <v>1.2840800000000001</v>
      </c>
      <c r="J25" s="244">
        <v>1.30189</v>
      </c>
      <c r="K25" s="236"/>
    </row>
    <row r="26" spans="2:11" ht="15" customHeight="1" x14ac:dyDescent="0.6">
      <c r="C26" s="237" t="s">
        <v>54</v>
      </c>
      <c r="D26" s="178" t="s">
        <v>25</v>
      </c>
      <c r="E26" s="243">
        <v>-0.129</v>
      </c>
      <c r="F26" s="243">
        <v>-0.129</v>
      </c>
      <c r="G26" s="243">
        <v>-0.12256</v>
      </c>
      <c r="H26" s="243">
        <v>-0.12256</v>
      </c>
      <c r="I26" s="243">
        <v>-0.12256</v>
      </c>
      <c r="J26" s="243">
        <v>-0.12256</v>
      </c>
    </row>
    <row r="27" spans="2:11" ht="15" customHeight="1" x14ac:dyDescent="0.6">
      <c r="C27" s="237" t="s">
        <v>34</v>
      </c>
      <c r="D27" s="178" t="s">
        <v>25</v>
      </c>
      <c r="E27" s="243">
        <f t="shared" ref="E27:J27" si="4">+E25+E26</f>
        <v>1.2684800000000001</v>
      </c>
      <c r="F27" s="243">
        <f t="shared" si="4"/>
        <v>1.1066</v>
      </c>
      <c r="G27" s="243">
        <f t="shared" si="4"/>
        <v>0.9823599999999999</v>
      </c>
      <c r="H27" s="243">
        <f t="shared" si="4"/>
        <v>1.00129</v>
      </c>
      <c r="I27" s="243">
        <f t="shared" si="4"/>
        <v>1.1615200000000001</v>
      </c>
      <c r="J27" s="243">
        <f t="shared" si="4"/>
        <v>1.17933</v>
      </c>
    </row>
    <row r="28" spans="2:11" ht="15" customHeight="1" x14ac:dyDescent="0.6">
      <c r="C28" s="237" t="s">
        <v>223</v>
      </c>
      <c r="D28" s="178" t="s">
        <v>224</v>
      </c>
      <c r="E28" s="243">
        <v>0.85</v>
      </c>
      <c r="F28" s="243">
        <v>0.85</v>
      </c>
      <c r="G28" s="243">
        <v>0.85</v>
      </c>
      <c r="H28" s="243">
        <v>0.85</v>
      </c>
      <c r="I28" s="243">
        <v>0.85</v>
      </c>
      <c r="J28" s="243">
        <v>0.85</v>
      </c>
    </row>
    <row r="29" spans="2:11" ht="15" customHeight="1" x14ac:dyDescent="0.6">
      <c r="C29" s="237" t="s">
        <v>225</v>
      </c>
      <c r="D29" s="178" t="s">
        <v>26</v>
      </c>
      <c r="E29" s="245">
        <v>9.9455500000000008</v>
      </c>
      <c r="F29" s="245">
        <v>9.9455500000000008</v>
      </c>
      <c r="G29" s="245">
        <v>9.9455500000000008</v>
      </c>
      <c r="H29" s="245">
        <v>9.9455500000000008</v>
      </c>
      <c r="I29" s="245">
        <v>9.9455500000000008</v>
      </c>
      <c r="J29" s="245">
        <v>9.9455500000000008</v>
      </c>
    </row>
    <row r="30" spans="2:11" ht="15" customHeight="1" x14ac:dyDescent="0.6">
      <c r="C30" s="210" t="s">
        <v>226</v>
      </c>
      <c r="D30" s="206" t="s">
        <v>23</v>
      </c>
      <c r="E30" s="207">
        <f t="shared" ref="E30:J30" si="5">+E27/E29*1000/E28</f>
        <v>150.04996322623745</v>
      </c>
      <c r="F30" s="207">
        <f t="shared" si="5"/>
        <v>130.90099119115348</v>
      </c>
      <c r="G30" s="207">
        <f t="shared" si="5"/>
        <v>116.20449819857356</v>
      </c>
      <c r="H30" s="207">
        <f t="shared" si="5"/>
        <v>118.443749746783</v>
      </c>
      <c r="I30" s="207">
        <f t="shared" si="5"/>
        <v>137.3975413775064</v>
      </c>
      <c r="J30" s="263">
        <f t="shared" si="5"/>
        <v>139.50430683305893</v>
      </c>
    </row>
    <row r="31" spans="2:11" ht="15" customHeight="1" x14ac:dyDescent="0.6">
      <c r="B31" s="239">
        <v>0.05</v>
      </c>
      <c r="C31" s="210" t="s">
        <v>30</v>
      </c>
      <c r="D31" s="206" t="s">
        <v>23</v>
      </c>
      <c r="E31" s="207">
        <f t="shared" ref="E31:J31" si="6">+E30*$B$31</f>
        <v>7.5024981613118733</v>
      </c>
      <c r="F31" s="207">
        <f t="shared" si="6"/>
        <v>6.5450495595576745</v>
      </c>
      <c r="G31" s="207">
        <f t="shared" si="6"/>
        <v>5.810224909928678</v>
      </c>
      <c r="H31" s="207">
        <f t="shared" si="6"/>
        <v>5.9221874873391505</v>
      </c>
      <c r="I31" s="207">
        <f t="shared" si="6"/>
        <v>6.8698770688753203</v>
      </c>
      <c r="J31" s="263">
        <f t="shared" si="6"/>
        <v>6.9752153416529472</v>
      </c>
    </row>
    <row r="32" spans="2:11" ht="15" customHeight="1" x14ac:dyDescent="0.6">
      <c r="C32" s="237" t="s">
        <v>264</v>
      </c>
      <c r="D32" s="178">
        <v>300</v>
      </c>
    </row>
    <row r="33" spans="2:10" ht="15" customHeight="1" x14ac:dyDescent="0.6">
      <c r="C33" s="237" t="s">
        <v>292</v>
      </c>
      <c r="D33" s="178">
        <v>2269</v>
      </c>
    </row>
    <row r="34" spans="2:10" ht="15" customHeight="1" x14ac:dyDescent="0.6">
      <c r="C34" s="237" t="s">
        <v>291</v>
      </c>
      <c r="D34" s="260">
        <v>15.18</v>
      </c>
    </row>
    <row r="35" spans="2:10" ht="15" customHeight="1" x14ac:dyDescent="0.6">
      <c r="C35" s="237" t="s">
        <v>266</v>
      </c>
      <c r="D35" s="178" t="s">
        <v>230</v>
      </c>
      <c r="E35" s="225">
        <f>+'gradi giorno Santa Fiora'!S17</f>
        <v>2423.3000000000002</v>
      </c>
      <c r="F35" s="225">
        <f>+'gradi giorno Santa Fiora'!S24</f>
        <v>2361.5</v>
      </c>
      <c r="G35" s="225">
        <f>+'gradi giorno Santa Fiora'!S31</f>
        <v>2451.1</v>
      </c>
      <c r="H35" s="225">
        <f>+'gradi giorno Santa Fiora'!S38</f>
        <v>2598.1999999999998</v>
      </c>
      <c r="I35" s="225">
        <f>+'gradi giorno Santa Fiora'!S45</f>
        <v>2505</v>
      </c>
      <c r="J35" s="225">
        <f>+'gradi giorno Santa Fiora'!S52</f>
        <v>893.9</v>
      </c>
    </row>
    <row r="36" spans="2:10" ht="15" customHeight="1" x14ac:dyDescent="0.6">
      <c r="C36" s="249" t="s">
        <v>262</v>
      </c>
      <c r="D36" s="250" t="s">
        <v>27</v>
      </c>
      <c r="E36" s="251">
        <f t="shared" ref="E36:J36" si="7">+$D$34*E35/$D$33</f>
        <v>16.212293521375056</v>
      </c>
      <c r="F36" s="251">
        <f t="shared" si="7"/>
        <v>15.798840899074483</v>
      </c>
      <c r="G36" s="251">
        <f t="shared" si="7"/>
        <v>16.398280299691493</v>
      </c>
      <c r="H36" s="251">
        <f t="shared" si="7"/>
        <v>17.382404583516969</v>
      </c>
      <c r="I36" s="251">
        <f t="shared" si="7"/>
        <v>16.758880564125167</v>
      </c>
      <c r="J36" s="251">
        <f t="shared" si="7"/>
        <v>5.9803446452181577</v>
      </c>
    </row>
    <row r="37" spans="2:10" ht="15" customHeight="1" x14ac:dyDescent="0.6">
      <c r="B37" s="237"/>
      <c r="C37" s="184" t="s">
        <v>31</v>
      </c>
      <c r="D37" s="201" t="s">
        <v>28</v>
      </c>
      <c r="E37" s="185">
        <f t="shared" ref="E37:J37" si="8">+(E30+E31)*E36</f>
        <v>2554.2867490300596</v>
      </c>
      <c r="F37" s="185">
        <f t="shared" si="8"/>
        <v>2171.4881300281932</v>
      </c>
      <c r="G37" s="185">
        <f t="shared" si="8"/>
        <v>2000.8316302224646</v>
      </c>
      <c r="H37" s="185">
        <f t="shared" si="8"/>
        <v>2161.7790374117885</v>
      </c>
      <c r="I37" s="185">
        <f t="shared" si="8"/>
        <v>2417.7604350375796</v>
      </c>
      <c r="J37" s="186">
        <f t="shared" si="8"/>
        <v>875.99802607165259</v>
      </c>
    </row>
    <row r="38" spans="2:10" ht="15" customHeight="1" thickBot="1" x14ac:dyDescent="0.65">
      <c r="C38" s="238"/>
    </row>
    <row r="39" spans="2:10" ht="15" customHeight="1" x14ac:dyDescent="0.6">
      <c r="C39" s="222" t="s">
        <v>265</v>
      </c>
      <c r="D39" s="161"/>
      <c r="E39" s="194">
        <f t="shared" ref="E39:J39" si="9">+E21-E37</f>
        <v>-907.63078633005944</v>
      </c>
      <c r="F39" s="194">
        <f t="shared" si="9"/>
        <v>-520.90400752819323</v>
      </c>
      <c r="G39" s="194">
        <f t="shared" si="9"/>
        <v>-347.69084742246446</v>
      </c>
      <c r="H39" s="194">
        <f t="shared" si="9"/>
        <v>-480.22509441178818</v>
      </c>
      <c r="I39" s="194">
        <f t="shared" si="9"/>
        <v>-692.08056003757929</v>
      </c>
      <c r="J39" s="194">
        <f t="shared" si="9"/>
        <v>870.96295432834711</v>
      </c>
    </row>
    <row r="40" spans="2:10" ht="15" customHeight="1" x14ac:dyDescent="0.6">
      <c r="C40" s="159"/>
      <c r="D40" s="159"/>
      <c r="E40" s="195">
        <f t="shared" ref="E40:J40" si="10">+E39/E37</f>
        <v>-0.35533629365407565</v>
      </c>
      <c r="F40" s="195">
        <f t="shared" si="10"/>
        <v>-0.23988342387182662</v>
      </c>
      <c r="G40" s="195">
        <f t="shared" si="10"/>
        <v>-0.17377316620279842</v>
      </c>
      <c r="H40" s="195">
        <f t="shared" si="10"/>
        <v>-0.2221434689212004</v>
      </c>
      <c r="I40" s="195">
        <f t="shared" si="10"/>
        <v>-0.28624860842626132</v>
      </c>
      <c r="J40" s="195">
        <f t="shared" si="10"/>
        <v>0.99425218825448169</v>
      </c>
    </row>
    <row r="41" spans="2:10" ht="15" customHeight="1" thickBot="1" x14ac:dyDescent="0.65">
      <c r="C41" s="238"/>
    </row>
    <row r="42" spans="2:10" ht="15" customHeight="1" thickTop="1" thickBot="1" x14ac:dyDescent="0.65">
      <c r="C42" s="322" t="s">
        <v>233</v>
      </c>
      <c r="D42" s="323"/>
      <c r="E42" s="323"/>
      <c r="F42" s="323"/>
      <c r="G42" s="323"/>
      <c r="H42" s="323"/>
      <c r="I42" s="323"/>
      <c r="J42" s="324"/>
    </row>
    <row r="43" spans="2:10" ht="15" customHeight="1" thickTop="1" x14ac:dyDescent="0.6">
      <c r="C43" s="238"/>
    </row>
    <row r="44" spans="2:10" ht="15" customHeight="1" x14ac:dyDescent="0.6">
      <c r="C44" s="225" t="s">
        <v>240</v>
      </c>
      <c r="E44" s="235">
        <v>41821</v>
      </c>
      <c r="F44" s="235">
        <v>42186</v>
      </c>
      <c r="G44" s="235">
        <v>42552</v>
      </c>
      <c r="H44" s="235">
        <v>42917</v>
      </c>
      <c r="I44" s="235">
        <v>43282</v>
      </c>
      <c r="J44" s="235">
        <v>43647</v>
      </c>
    </row>
    <row r="45" spans="2:10" ht="15" customHeight="1" x14ac:dyDescent="0.6">
      <c r="C45" s="237" t="s">
        <v>243</v>
      </c>
      <c r="E45" s="241">
        <f t="shared" ref="E45:J45" si="11">+E36*3600/1000/$D$46</f>
        <v>4.9000964577377228</v>
      </c>
      <c r="F45" s="241">
        <f t="shared" si="11"/>
        <v>4.7751321689215667</v>
      </c>
      <c r="G45" s="241">
        <f t="shared" si="11"/>
        <v>4.9563101669462855</v>
      </c>
      <c r="H45" s="241">
        <f t="shared" si="11"/>
        <v>5.2537575275426702</v>
      </c>
      <c r="I45" s="241">
        <f t="shared" si="11"/>
        <v>5.0653000563830304</v>
      </c>
      <c r="J45" s="241">
        <f t="shared" si="11"/>
        <v>1.8075336209184794</v>
      </c>
    </row>
    <row r="46" spans="2:10" ht="15" customHeight="1" x14ac:dyDescent="0.6">
      <c r="C46" s="237" t="s">
        <v>246</v>
      </c>
      <c r="D46" s="241">
        <f>+E29/0.835</f>
        <v>11.910838323353294</v>
      </c>
    </row>
    <row r="47" spans="2:10" ht="15" customHeight="1" x14ac:dyDescent="0.6">
      <c r="C47" s="237" t="s">
        <v>244</v>
      </c>
      <c r="D47" s="189">
        <v>73.578000000000003</v>
      </c>
      <c r="E47" s="246"/>
      <c r="F47" s="246"/>
      <c r="G47" s="246"/>
      <c r="H47" s="246"/>
      <c r="I47" s="246"/>
      <c r="J47" s="246"/>
    </row>
    <row r="48" spans="2:10" ht="15" customHeight="1" x14ac:dyDescent="0.6">
      <c r="C48" s="237" t="s">
        <v>245</v>
      </c>
      <c r="D48" s="189">
        <v>1</v>
      </c>
      <c r="E48" s="246"/>
      <c r="F48" s="246"/>
      <c r="G48" s="246"/>
      <c r="H48" s="246"/>
      <c r="I48" s="246"/>
      <c r="J48" s="246"/>
    </row>
    <row r="49" spans="2:10" ht="15" customHeight="1" x14ac:dyDescent="0.6">
      <c r="C49" s="237" t="s">
        <v>247</v>
      </c>
      <c r="D49" s="242">
        <f>+E45*D46*D47*D48/1000</f>
        <v>4.2943252777766423</v>
      </c>
    </row>
    <row r="50" spans="2:10" ht="15" customHeight="1" x14ac:dyDescent="0.6">
      <c r="C50" s="237" t="s">
        <v>234</v>
      </c>
      <c r="D50" s="189" t="s">
        <v>235</v>
      </c>
      <c r="E50" s="207">
        <v>5.8</v>
      </c>
      <c r="F50" s="207">
        <v>7.42</v>
      </c>
      <c r="G50" s="207">
        <v>4.3499999999999996</v>
      </c>
      <c r="H50" s="207">
        <v>5.0199999999999996</v>
      </c>
      <c r="I50" s="207">
        <v>14.85</v>
      </c>
      <c r="J50" s="263">
        <v>26.72</v>
      </c>
    </row>
    <row r="51" spans="2:10" ht="15" customHeight="1" x14ac:dyDescent="0.6">
      <c r="B51" s="167"/>
      <c r="C51" s="184" t="s">
        <v>236</v>
      </c>
      <c r="D51" s="201" t="s">
        <v>28</v>
      </c>
      <c r="E51" s="185">
        <f t="shared" ref="E51:J51" si="12">+E50*$D$49</f>
        <v>24.907086611104525</v>
      </c>
      <c r="F51" s="185">
        <f t="shared" si="12"/>
        <v>31.863893561102685</v>
      </c>
      <c r="G51" s="185">
        <f t="shared" si="12"/>
        <v>18.680314958328392</v>
      </c>
      <c r="H51" s="185">
        <f t="shared" si="12"/>
        <v>21.557512894438741</v>
      </c>
      <c r="I51" s="185">
        <f t="shared" si="12"/>
        <v>63.770730374983138</v>
      </c>
      <c r="J51" s="186">
        <f t="shared" si="12"/>
        <v>114.74437142219188</v>
      </c>
    </row>
    <row r="52" spans="2:10" ht="15" customHeight="1" x14ac:dyDescent="0.6"/>
    <row r="53" spans="2:10" ht="15" customHeight="1" x14ac:dyDescent="0.6"/>
  </sheetData>
  <dataConsolidate/>
  <mergeCells count="3">
    <mergeCell ref="C8:J8"/>
    <mergeCell ref="C23:J23"/>
    <mergeCell ref="C42:J4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S58"/>
  <sheetViews>
    <sheetView showGridLines="0" topLeftCell="A35" workbookViewId="0">
      <selection activeCell="J52" sqref="J52"/>
    </sheetView>
  </sheetViews>
  <sheetFormatPr defaultRowHeight="12.75" x14ac:dyDescent="0.35"/>
  <sheetData>
    <row r="7" spans="2:19" x14ac:dyDescent="0.35">
      <c r="B7" s="255" t="s">
        <v>283</v>
      </c>
      <c r="D7" s="256" t="s">
        <v>284</v>
      </c>
    </row>
    <row r="9" spans="2:19" ht="13.9" x14ac:dyDescent="0.35">
      <c r="B9" s="252">
        <v>2014</v>
      </c>
      <c r="C9" s="252" t="s">
        <v>267</v>
      </c>
      <c r="D9" s="252" t="s">
        <v>268</v>
      </c>
      <c r="E9" s="252" t="s">
        <v>269</v>
      </c>
      <c r="F9" s="252" t="s">
        <v>270</v>
      </c>
      <c r="G9" s="252" t="s">
        <v>271</v>
      </c>
      <c r="H9" s="252" t="s">
        <v>272</v>
      </c>
      <c r="I9" s="252" t="s">
        <v>273</v>
      </c>
      <c r="J9" s="252" t="s">
        <v>274</v>
      </c>
      <c r="K9" s="252" t="s">
        <v>275</v>
      </c>
      <c r="L9" s="252" t="s">
        <v>276</v>
      </c>
      <c r="M9" s="252" t="s">
        <v>277</v>
      </c>
      <c r="N9" s="252" t="s">
        <v>278</v>
      </c>
    </row>
    <row r="10" spans="2:19" ht="14.25" x14ac:dyDescent="0.45">
      <c r="B10" s="253" t="s">
        <v>279</v>
      </c>
      <c r="C10" s="254">
        <v>7.5</v>
      </c>
      <c r="D10" s="254">
        <v>8.8000000000000007</v>
      </c>
      <c r="E10" s="254">
        <v>10.8</v>
      </c>
      <c r="F10" s="254">
        <v>14</v>
      </c>
      <c r="G10" s="254">
        <v>16.399999999999999</v>
      </c>
      <c r="H10" s="254">
        <v>22.4</v>
      </c>
      <c r="I10" s="254">
        <v>22.3</v>
      </c>
      <c r="J10" s="254">
        <v>23.2</v>
      </c>
      <c r="K10" s="254">
        <v>19.899999999999999</v>
      </c>
      <c r="L10" s="254">
        <v>17</v>
      </c>
      <c r="M10" s="254">
        <v>13.1</v>
      </c>
      <c r="N10" s="254">
        <v>8</v>
      </c>
    </row>
    <row r="11" spans="2:19" ht="14.25" x14ac:dyDescent="0.45">
      <c r="B11" s="253" t="s">
        <v>280</v>
      </c>
      <c r="C11" s="254">
        <v>1.8</v>
      </c>
      <c r="D11" s="254">
        <v>3.1</v>
      </c>
      <c r="E11" s="254">
        <v>2.9</v>
      </c>
      <c r="F11" s="254">
        <v>5.2</v>
      </c>
      <c r="G11" s="254">
        <v>6.7</v>
      </c>
      <c r="H11" s="254">
        <v>10.8</v>
      </c>
      <c r="I11" s="254">
        <v>11.9</v>
      </c>
      <c r="J11" s="254">
        <v>12.8</v>
      </c>
      <c r="K11" s="254">
        <v>10.199999999999999</v>
      </c>
      <c r="L11" s="254">
        <v>9.1</v>
      </c>
      <c r="M11" s="254">
        <v>6.8</v>
      </c>
      <c r="N11" s="254">
        <v>1.8</v>
      </c>
    </row>
    <row r="12" spans="2:19" ht="14.25" x14ac:dyDescent="0.45">
      <c r="B12" s="253" t="s">
        <v>281</v>
      </c>
      <c r="C12" s="254">
        <v>4.7</v>
      </c>
      <c r="D12" s="254">
        <v>6</v>
      </c>
      <c r="E12" s="254">
        <v>6.9</v>
      </c>
      <c r="F12" s="254">
        <v>9.6</v>
      </c>
      <c r="G12" s="254">
        <v>11.6</v>
      </c>
      <c r="H12" s="254">
        <v>16.600000000000001</v>
      </c>
      <c r="I12" s="254">
        <v>17.100000000000001</v>
      </c>
      <c r="J12" s="254">
        <v>18</v>
      </c>
      <c r="K12" s="254">
        <v>15.1</v>
      </c>
      <c r="L12" s="254">
        <v>13.1</v>
      </c>
      <c r="M12" s="254">
        <v>10</v>
      </c>
      <c r="N12" s="254">
        <v>4.9000000000000004</v>
      </c>
    </row>
    <row r="13" spans="2:19" ht="14.25" x14ac:dyDescent="0.45">
      <c r="B13" s="253" t="s">
        <v>285</v>
      </c>
      <c r="C13" s="254">
        <v>31</v>
      </c>
      <c r="D13" s="254">
        <v>28</v>
      </c>
      <c r="E13" s="254">
        <v>31</v>
      </c>
      <c r="F13" s="254">
        <v>15</v>
      </c>
      <c r="G13" s="254"/>
      <c r="H13" s="254"/>
      <c r="I13" s="254"/>
      <c r="J13" s="254"/>
      <c r="K13" s="254"/>
      <c r="L13" s="254">
        <v>16</v>
      </c>
      <c r="M13" s="254">
        <v>30</v>
      </c>
      <c r="N13" s="254">
        <v>31</v>
      </c>
      <c r="P13" s="252" t="s">
        <v>287</v>
      </c>
      <c r="Q13" s="252" t="s">
        <v>288</v>
      </c>
      <c r="R13" s="252" t="s">
        <v>289</v>
      </c>
    </row>
    <row r="14" spans="2:19" ht="14.25" x14ac:dyDescent="0.45">
      <c r="B14" s="257" t="s">
        <v>286</v>
      </c>
      <c r="C14" s="258">
        <f>+C13*(20-C12)</f>
        <v>474.3</v>
      </c>
      <c r="D14" s="258">
        <f t="shared" ref="D14:N14" si="0">+D13*(20-D12)</f>
        <v>392</v>
      </c>
      <c r="E14" s="258">
        <f t="shared" si="0"/>
        <v>406.09999999999997</v>
      </c>
      <c r="F14" s="258">
        <f t="shared" si="0"/>
        <v>156</v>
      </c>
      <c r="G14" s="258">
        <f t="shared" si="0"/>
        <v>0</v>
      </c>
      <c r="H14" s="258">
        <f t="shared" si="0"/>
        <v>0</v>
      </c>
      <c r="I14" s="258">
        <f t="shared" si="0"/>
        <v>0</v>
      </c>
      <c r="J14" s="258">
        <f t="shared" si="0"/>
        <v>0</v>
      </c>
      <c r="K14" s="258">
        <f t="shared" si="0"/>
        <v>0</v>
      </c>
      <c r="L14" s="258">
        <f t="shared" si="0"/>
        <v>110.4</v>
      </c>
      <c r="M14" s="258">
        <f t="shared" si="0"/>
        <v>300</v>
      </c>
      <c r="N14" s="258">
        <f t="shared" si="0"/>
        <v>468.09999999999997</v>
      </c>
      <c r="P14" s="259">
        <f>SUM(C14:N14)</f>
        <v>2306.9</v>
      </c>
      <c r="Q14" s="259">
        <f>SUM(C14:F14)</f>
        <v>1428.3999999999999</v>
      </c>
      <c r="R14" s="259">
        <f>SUM(L14:N14)</f>
        <v>878.5</v>
      </c>
    </row>
    <row r="16" spans="2:19" ht="13.9" x14ac:dyDescent="0.35">
      <c r="B16" s="252">
        <v>2015</v>
      </c>
      <c r="C16" s="252" t="s">
        <v>267</v>
      </c>
      <c r="D16" s="252" t="s">
        <v>268</v>
      </c>
      <c r="E16" s="252" t="s">
        <v>269</v>
      </c>
      <c r="F16" s="252" t="s">
        <v>270</v>
      </c>
      <c r="G16" s="252" t="s">
        <v>271</v>
      </c>
      <c r="H16" s="252" t="s">
        <v>272</v>
      </c>
      <c r="I16" s="252" t="s">
        <v>273</v>
      </c>
      <c r="J16" s="252" t="s">
        <v>274</v>
      </c>
      <c r="K16" s="252" t="s">
        <v>275</v>
      </c>
      <c r="L16" s="252" t="s">
        <v>276</v>
      </c>
      <c r="M16" s="252" t="s">
        <v>277</v>
      </c>
      <c r="N16" s="252" t="s">
        <v>278</v>
      </c>
      <c r="S16" s="252" t="s">
        <v>290</v>
      </c>
    </row>
    <row r="17" spans="2:19" ht="14.25" x14ac:dyDescent="0.45">
      <c r="B17" s="253" t="s">
        <v>279</v>
      </c>
      <c r="C17" s="254">
        <v>7.5</v>
      </c>
      <c r="D17" s="254">
        <v>7.3</v>
      </c>
      <c r="E17" s="254">
        <v>10.5</v>
      </c>
      <c r="F17" s="254">
        <v>14.6</v>
      </c>
      <c r="G17" s="254">
        <v>19.5</v>
      </c>
      <c r="H17" s="254">
        <v>23.9</v>
      </c>
      <c r="I17" s="254">
        <v>29.9</v>
      </c>
      <c r="J17" s="254">
        <v>26.9</v>
      </c>
      <c r="K17" s="254">
        <v>20.9</v>
      </c>
      <c r="L17" s="254">
        <v>16</v>
      </c>
      <c r="M17" s="254">
        <v>12.6</v>
      </c>
      <c r="N17" s="254">
        <v>10.4</v>
      </c>
      <c r="S17" s="259">
        <f>+R14+Q21</f>
        <v>2423.3000000000002</v>
      </c>
    </row>
    <row r="18" spans="2:19" ht="14.25" x14ac:dyDescent="0.45">
      <c r="B18" s="253" t="s">
        <v>280</v>
      </c>
      <c r="C18" s="254">
        <v>0.1</v>
      </c>
      <c r="D18" s="254">
        <v>-0.3</v>
      </c>
      <c r="E18" s="254">
        <v>2.2999999999999998</v>
      </c>
      <c r="F18" s="254">
        <v>4.0999999999999996</v>
      </c>
      <c r="G18" s="254">
        <v>8.1</v>
      </c>
      <c r="H18" s="254">
        <v>11.2</v>
      </c>
      <c r="I18" s="254">
        <v>15.2</v>
      </c>
      <c r="J18" s="254">
        <v>13.6</v>
      </c>
      <c r="K18" s="254">
        <v>10.199999999999999</v>
      </c>
      <c r="L18" s="254">
        <v>7.2</v>
      </c>
      <c r="M18" s="254">
        <v>4.2</v>
      </c>
      <c r="N18" s="254">
        <v>1.5</v>
      </c>
    </row>
    <row r="19" spans="2:19" ht="14.25" x14ac:dyDescent="0.45">
      <c r="B19" s="253" t="s">
        <v>281</v>
      </c>
      <c r="C19" s="254">
        <v>3.8</v>
      </c>
      <c r="D19" s="254">
        <v>3.5</v>
      </c>
      <c r="E19" s="254">
        <v>6.4</v>
      </c>
      <c r="F19" s="254">
        <v>9.4</v>
      </c>
      <c r="G19" s="254">
        <v>13.8</v>
      </c>
      <c r="H19" s="254">
        <v>17.600000000000001</v>
      </c>
      <c r="I19" s="254">
        <v>22.6</v>
      </c>
      <c r="J19" s="254">
        <v>20.3</v>
      </c>
      <c r="K19" s="254">
        <v>15.6</v>
      </c>
      <c r="L19" s="254">
        <v>11.6</v>
      </c>
      <c r="M19" s="254">
        <v>8.4</v>
      </c>
      <c r="N19" s="254">
        <v>6</v>
      </c>
    </row>
    <row r="20" spans="2:19" ht="14.25" x14ac:dyDescent="0.45">
      <c r="B20" s="253" t="s">
        <v>285</v>
      </c>
      <c r="C20" s="254">
        <v>31</v>
      </c>
      <c r="D20" s="254">
        <v>28</v>
      </c>
      <c r="E20" s="254">
        <v>31</v>
      </c>
      <c r="F20" s="254">
        <v>15</v>
      </c>
      <c r="G20" s="254"/>
      <c r="H20" s="254"/>
      <c r="I20" s="254"/>
      <c r="J20" s="254"/>
      <c r="K20" s="254"/>
      <c r="L20" s="254">
        <v>16</v>
      </c>
      <c r="M20" s="254">
        <v>30</v>
      </c>
      <c r="N20" s="254">
        <v>31</v>
      </c>
      <c r="P20" s="252" t="s">
        <v>287</v>
      </c>
      <c r="Q20" s="252" t="s">
        <v>288</v>
      </c>
      <c r="R20" s="252" t="s">
        <v>289</v>
      </c>
    </row>
    <row r="21" spans="2:19" ht="14.25" x14ac:dyDescent="0.45">
      <c r="B21" s="257" t="s">
        <v>286</v>
      </c>
      <c r="C21" s="258">
        <f t="shared" ref="C21:N21" si="1">+C20*(20-C19)</f>
        <v>502.2</v>
      </c>
      <c r="D21" s="258">
        <f t="shared" si="1"/>
        <v>462</v>
      </c>
      <c r="E21" s="258">
        <f t="shared" si="1"/>
        <v>421.59999999999997</v>
      </c>
      <c r="F21" s="258">
        <f t="shared" si="1"/>
        <v>159</v>
      </c>
      <c r="G21" s="258">
        <f t="shared" si="1"/>
        <v>0</v>
      </c>
      <c r="H21" s="258">
        <f t="shared" si="1"/>
        <v>0</v>
      </c>
      <c r="I21" s="258">
        <f t="shared" si="1"/>
        <v>0</v>
      </c>
      <c r="J21" s="258">
        <f t="shared" si="1"/>
        <v>0</v>
      </c>
      <c r="K21" s="258">
        <f t="shared" si="1"/>
        <v>0</v>
      </c>
      <c r="L21" s="258">
        <f t="shared" si="1"/>
        <v>134.4</v>
      </c>
      <c r="M21" s="258">
        <f t="shared" si="1"/>
        <v>348</v>
      </c>
      <c r="N21" s="258">
        <f t="shared" si="1"/>
        <v>434</v>
      </c>
      <c r="P21" s="259">
        <f>SUM(C21:N21)</f>
        <v>2461.1999999999998</v>
      </c>
      <c r="Q21" s="259">
        <f>SUM(C21:F21)</f>
        <v>1544.8</v>
      </c>
      <c r="R21" s="259">
        <f>SUM(L21:N21)</f>
        <v>916.4</v>
      </c>
    </row>
    <row r="23" spans="2:19" ht="13.9" x14ac:dyDescent="0.35">
      <c r="B23" s="252">
        <v>2016</v>
      </c>
      <c r="C23" s="252" t="s">
        <v>267</v>
      </c>
      <c r="D23" s="252" t="s">
        <v>268</v>
      </c>
      <c r="E23" s="252" t="s">
        <v>269</v>
      </c>
      <c r="F23" s="252" t="s">
        <v>270</v>
      </c>
      <c r="G23" s="252" t="s">
        <v>271</v>
      </c>
      <c r="H23" s="252" t="s">
        <v>272</v>
      </c>
      <c r="I23" s="252" t="s">
        <v>273</v>
      </c>
      <c r="J23" s="252" t="s">
        <v>274</v>
      </c>
      <c r="K23" s="252" t="s">
        <v>275</v>
      </c>
      <c r="L23" s="252" t="s">
        <v>276</v>
      </c>
      <c r="M23" s="252" t="s">
        <v>277</v>
      </c>
      <c r="N23" s="252" t="s">
        <v>278</v>
      </c>
      <c r="S23" s="252" t="s">
        <v>290</v>
      </c>
    </row>
    <row r="24" spans="2:19" ht="14.25" x14ac:dyDescent="0.45">
      <c r="B24" s="253" t="s">
        <v>282</v>
      </c>
      <c r="C24" s="254">
        <v>7.9</v>
      </c>
      <c r="D24" s="254">
        <v>9.5</v>
      </c>
      <c r="E24" s="254">
        <v>10.6</v>
      </c>
      <c r="F24" s="254">
        <v>16.100000000000001</v>
      </c>
      <c r="G24" s="254">
        <v>17.5</v>
      </c>
      <c r="H24" s="254">
        <v>22.1</v>
      </c>
      <c r="I24" s="254">
        <v>27.4</v>
      </c>
      <c r="J24" s="254">
        <v>25.6</v>
      </c>
      <c r="K24" s="254">
        <v>21.9</v>
      </c>
      <c r="L24" s="254">
        <v>16.399999999999999</v>
      </c>
      <c r="M24" s="254">
        <v>11.5</v>
      </c>
      <c r="N24" s="254">
        <v>10</v>
      </c>
      <c r="S24" s="259">
        <f>+R21+Q28</f>
        <v>2361.5</v>
      </c>
    </row>
    <row r="25" spans="2:19" ht="14.25" x14ac:dyDescent="0.45">
      <c r="B25" s="253" t="s">
        <v>280</v>
      </c>
      <c r="C25" s="254">
        <v>1</v>
      </c>
      <c r="D25" s="254">
        <v>2.8</v>
      </c>
      <c r="E25" s="254">
        <v>1.5</v>
      </c>
      <c r="F25" s="254">
        <v>6</v>
      </c>
      <c r="G25" s="254">
        <v>6.7</v>
      </c>
      <c r="H25" s="254">
        <v>10.8</v>
      </c>
      <c r="I25" s="254">
        <v>13.7</v>
      </c>
      <c r="J25" s="254">
        <v>12.4</v>
      </c>
      <c r="K25" s="254">
        <v>10.5</v>
      </c>
      <c r="L25" s="254">
        <v>7.1</v>
      </c>
      <c r="M25" s="254">
        <v>4</v>
      </c>
      <c r="N25" s="254">
        <v>1.1000000000000001</v>
      </c>
    </row>
    <row r="26" spans="2:19" ht="14.25" x14ac:dyDescent="0.45">
      <c r="B26" s="253" t="s">
        <v>281</v>
      </c>
      <c r="C26" s="254">
        <v>4.5</v>
      </c>
      <c r="D26" s="254">
        <v>6.2</v>
      </c>
      <c r="E26" s="254">
        <v>6.1</v>
      </c>
      <c r="F26" s="254">
        <v>11.1</v>
      </c>
      <c r="G26" s="254">
        <v>12.1</v>
      </c>
      <c r="H26" s="254">
        <v>16.5</v>
      </c>
      <c r="I26" s="254">
        <v>20.6</v>
      </c>
      <c r="J26" s="254">
        <v>19</v>
      </c>
      <c r="K26" s="254">
        <v>16.2</v>
      </c>
      <c r="L26" s="254">
        <v>11.8</v>
      </c>
      <c r="M26" s="254">
        <v>7.8</v>
      </c>
      <c r="N26" s="254">
        <v>5.6</v>
      </c>
    </row>
    <row r="27" spans="2:19" ht="14.25" x14ac:dyDescent="0.45">
      <c r="B27" s="253" t="s">
        <v>285</v>
      </c>
      <c r="C27" s="254">
        <v>31</v>
      </c>
      <c r="D27" s="254">
        <v>29</v>
      </c>
      <c r="E27" s="254">
        <v>31</v>
      </c>
      <c r="F27" s="254">
        <v>15</v>
      </c>
      <c r="G27" s="254"/>
      <c r="H27" s="254"/>
      <c r="I27" s="254"/>
      <c r="J27" s="254"/>
      <c r="K27" s="254"/>
      <c r="L27" s="254">
        <v>16</v>
      </c>
      <c r="M27" s="254">
        <v>30</v>
      </c>
      <c r="N27" s="254">
        <v>31</v>
      </c>
      <c r="P27" s="252" t="s">
        <v>287</v>
      </c>
      <c r="Q27" s="252" t="s">
        <v>288</v>
      </c>
      <c r="R27" s="252" t="s">
        <v>289</v>
      </c>
    </row>
    <row r="28" spans="2:19" ht="14.25" x14ac:dyDescent="0.45">
      <c r="B28" s="257" t="s">
        <v>286</v>
      </c>
      <c r="C28" s="258">
        <f t="shared" ref="C28:N28" si="2">+C27*(20-C26)</f>
        <v>480.5</v>
      </c>
      <c r="D28" s="258">
        <f t="shared" si="2"/>
        <v>400.20000000000005</v>
      </c>
      <c r="E28" s="258">
        <f t="shared" si="2"/>
        <v>430.90000000000003</v>
      </c>
      <c r="F28" s="258">
        <f t="shared" si="2"/>
        <v>133.5</v>
      </c>
      <c r="G28" s="258">
        <f t="shared" si="2"/>
        <v>0</v>
      </c>
      <c r="H28" s="258">
        <f t="shared" si="2"/>
        <v>0</v>
      </c>
      <c r="I28" s="258">
        <f t="shared" si="2"/>
        <v>0</v>
      </c>
      <c r="J28" s="258">
        <f t="shared" si="2"/>
        <v>0</v>
      </c>
      <c r="K28" s="258">
        <f t="shared" si="2"/>
        <v>0</v>
      </c>
      <c r="L28" s="258">
        <f t="shared" si="2"/>
        <v>131.19999999999999</v>
      </c>
      <c r="M28" s="258">
        <f t="shared" si="2"/>
        <v>366</v>
      </c>
      <c r="N28" s="258">
        <f t="shared" si="2"/>
        <v>446.40000000000003</v>
      </c>
      <c r="P28" s="259">
        <f>SUM(C28:N28)</f>
        <v>2388.7000000000003</v>
      </c>
      <c r="Q28" s="259">
        <f>SUM(C28:F28)</f>
        <v>1445.1000000000001</v>
      </c>
      <c r="R28" s="259">
        <f>SUM(L28:N28)</f>
        <v>943.6</v>
      </c>
    </row>
    <row r="30" spans="2:19" ht="13.9" x14ac:dyDescent="0.35">
      <c r="B30" s="252">
        <v>2017</v>
      </c>
      <c r="C30" s="252" t="s">
        <v>267</v>
      </c>
      <c r="D30" s="252" t="s">
        <v>268</v>
      </c>
      <c r="E30" s="252" t="s">
        <v>269</v>
      </c>
      <c r="F30" s="252" t="s">
        <v>270</v>
      </c>
      <c r="G30" s="252" t="s">
        <v>271</v>
      </c>
      <c r="H30" s="252" t="s">
        <v>272</v>
      </c>
      <c r="I30" s="252" t="s">
        <v>273</v>
      </c>
      <c r="J30" s="252" t="s">
        <v>274</v>
      </c>
      <c r="K30" s="252" t="s">
        <v>275</v>
      </c>
      <c r="L30" s="252" t="s">
        <v>276</v>
      </c>
      <c r="M30" s="252" t="s">
        <v>277</v>
      </c>
      <c r="N30" s="252" t="s">
        <v>278</v>
      </c>
      <c r="S30" s="252" t="s">
        <v>290</v>
      </c>
    </row>
    <row r="31" spans="2:19" ht="14.25" x14ac:dyDescent="0.45">
      <c r="B31" s="253" t="s">
        <v>282</v>
      </c>
      <c r="C31" s="254">
        <v>5.5</v>
      </c>
      <c r="D31" s="254">
        <v>9.3000000000000007</v>
      </c>
      <c r="E31" s="254">
        <v>13.3</v>
      </c>
      <c r="F31" s="254">
        <v>15</v>
      </c>
      <c r="G31" s="254">
        <v>19.7</v>
      </c>
      <c r="H31" s="254">
        <v>26.4</v>
      </c>
      <c r="I31" s="254">
        <v>28.2</v>
      </c>
      <c r="J31" s="254">
        <v>29.9</v>
      </c>
      <c r="K31" s="254">
        <v>19.399999999999999</v>
      </c>
      <c r="L31" s="254">
        <v>18</v>
      </c>
      <c r="M31" s="254">
        <v>10.6</v>
      </c>
      <c r="N31" s="254">
        <v>7</v>
      </c>
      <c r="S31" s="259">
        <f>+R28+Q35</f>
        <v>2451.1</v>
      </c>
    </row>
    <row r="32" spans="2:19" ht="14.25" x14ac:dyDescent="0.45">
      <c r="B32" s="253" t="s">
        <v>280</v>
      </c>
      <c r="C32" s="254">
        <v>-3</v>
      </c>
      <c r="D32" s="254">
        <v>1.6</v>
      </c>
      <c r="E32" s="254">
        <v>3</v>
      </c>
      <c r="F32" s="254">
        <v>4.2</v>
      </c>
      <c r="G32" s="254">
        <v>7.8</v>
      </c>
      <c r="H32" s="254">
        <v>11.8</v>
      </c>
      <c r="I32" s="254">
        <v>13.1</v>
      </c>
      <c r="J32" s="254">
        <v>14.9</v>
      </c>
      <c r="K32" s="254">
        <v>8.3000000000000007</v>
      </c>
      <c r="L32" s="254">
        <v>6.1</v>
      </c>
      <c r="M32" s="254">
        <v>2.6</v>
      </c>
      <c r="N32" s="254">
        <v>-0.5</v>
      </c>
    </row>
    <row r="33" spans="2:19" ht="14.25" x14ac:dyDescent="0.45">
      <c r="B33" s="253" t="s">
        <v>281</v>
      </c>
      <c r="C33" s="254">
        <v>1.3</v>
      </c>
      <c r="D33" s="254">
        <v>5.5</v>
      </c>
      <c r="E33" s="254">
        <v>8.1999999999999993</v>
      </c>
      <c r="F33" s="254">
        <v>9.6</v>
      </c>
      <c r="G33" s="254">
        <v>13.8</v>
      </c>
      <c r="H33" s="254">
        <v>19.100000000000001</v>
      </c>
      <c r="I33" s="254">
        <v>20.7</v>
      </c>
      <c r="J33" s="254">
        <v>22.4</v>
      </c>
      <c r="K33" s="254">
        <v>13.9</v>
      </c>
      <c r="L33" s="254">
        <v>12.1</v>
      </c>
      <c r="M33" s="254">
        <v>6.6</v>
      </c>
      <c r="N33" s="254">
        <v>3.3</v>
      </c>
    </row>
    <row r="34" spans="2:19" ht="14.25" x14ac:dyDescent="0.45">
      <c r="B34" s="253" t="s">
        <v>285</v>
      </c>
      <c r="C34" s="254">
        <v>31</v>
      </c>
      <c r="D34" s="254">
        <v>28</v>
      </c>
      <c r="E34" s="254">
        <v>31</v>
      </c>
      <c r="F34" s="254">
        <v>15</v>
      </c>
      <c r="G34" s="254"/>
      <c r="H34" s="254"/>
      <c r="I34" s="254"/>
      <c r="J34" s="254"/>
      <c r="K34" s="254"/>
      <c r="L34" s="254">
        <v>16</v>
      </c>
      <c r="M34" s="254">
        <v>30</v>
      </c>
      <c r="N34" s="254">
        <v>31</v>
      </c>
      <c r="P34" s="252" t="s">
        <v>287</v>
      </c>
      <c r="Q34" s="252" t="s">
        <v>288</v>
      </c>
      <c r="R34" s="252" t="s">
        <v>289</v>
      </c>
    </row>
    <row r="35" spans="2:19" ht="14.25" x14ac:dyDescent="0.45">
      <c r="B35" s="257" t="s">
        <v>286</v>
      </c>
      <c r="C35" s="258">
        <f t="shared" ref="C35:N35" si="3">+C34*(20-C33)</f>
        <v>579.69999999999993</v>
      </c>
      <c r="D35" s="258">
        <f t="shared" si="3"/>
        <v>406</v>
      </c>
      <c r="E35" s="258">
        <f t="shared" si="3"/>
        <v>365.8</v>
      </c>
      <c r="F35" s="258">
        <f t="shared" si="3"/>
        <v>156</v>
      </c>
      <c r="G35" s="258">
        <f t="shared" si="3"/>
        <v>0</v>
      </c>
      <c r="H35" s="258">
        <f t="shared" si="3"/>
        <v>0</v>
      </c>
      <c r="I35" s="258">
        <f t="shared" si="3"/>
        <v>0</v>
      </c>
      <c r="J35" s="258">
        <f t="shared" si="3"/>
        <v>0</v>
      </c>
      <c r="K35" s="258">
        <f t="shared" si="3"/>
        <v>0</v>
      </c>
      <c r="L35" s="258">
        <f t="shared" si="3"/>
        <v>126.4</v>
      </c>
      <c r="M35" s="258">
        <f t="shared" si="3"/>
        <v>402</v>
      </c>
      <c r="N35" s="258">
        <f t="shared" si="3"/>
        <v>517.69999999999993</v>
      </c>
      <c r="P35" s="259">
        <f>SUM(C35:N35)</f>
        <v>2553.6</v>
      </c>
      <c r="Q35" s="259">
        <f>SUM(C35:F35)</f>
        <v>1507.5</v>
      </c>
      <c r="R35" s="259">
        <f>SUM(L35:N35)</f>
        <v>1046.0999999999999</v>
      </c>
    </row>
    <row r="37" spans="2:19" ht="13.9" x14ac:dyDescent="0.35">
      <c r="B37" s="252">
        <v>2018</v>
      </c>
      <c r="C37" s="252" t="s">
        <v>267</v>
      </c>
      <c r="D37" s="252" t="s">
        <v>268</v>
      </c>
      <c r="E37" s="252" t="s">
        <v>269</v>
      </c>
      <c r="F37" s="252" t="s">
        <v>270</v>
      </c>
      <c r="G37" s="252" t="s">
        <v>271</v>
      </c>
      <c r="H37" s="252" t="s">
        <v>272</v>
      </c>
      <c r="I37" s="252" t="s">
        <v>273</v>
      </c>
      <c r="J37" s="252" t="s">
        <v>274</v>
      </c>
      <c r="K37" s="252" t="s">
        <v>275</v>
      </c>
      <c r="L37" s="252" t="s">
        <v>276</v>
      </c>
      <c r="M37" s="252" t="s">
        <v>277</v>
      </c>
      <c r="N37" s="252" t="s">
        <v>278</v>
      </c>
      <c r="S37" s="252" t="s">
        <v>290</v>
      </c>
    </row>
    <row r="38" spans="2:19" ht="14.25" x14ac:dyDescent="0.45">
      <c r="B38" s="253" t="s">
        <v>282</v>
      </c>
      <c r="C38" s="254">
        <v>9.1999999999999993</v>
      </c>
      <c r="D38" s="254">
        <v>5</v>
      </c>
      <c r="E38" s="254">
        <v>8.9</v>
      </c>
      <c r="F38" s="254">
        <v>17.100000000000001</v>
      </c>
      <c r="G38" s="254">
        <v>18.399999999999999</v>
      </c>
      <c r="H38" s="254">
        <v>22.4</v>
      </c>
      <c r="I38" s="254">
        <v>26.7</v>
      </c>
      <c r="J38" s="254">
        <v>26.3</v>
      </c>
      <c r="K38" s="254">
        <v>23</v>
      </c>
      <c r="L38" s="254">
        <v>17.8</v>
      </c>
      <c r="M38" s="254">
        <v>11.9</v>
      </c>
      <c r="N38" s="254">
        <v>8.9</v>
      </c>
      <c r="S38" s="259">
        <f>+R35+Q42</f>
        <v>2598.1999999999998</v>
      </c>
    </row>
    <row r="39" spans="2:19" ht="14.25" x14ac:dyDescent="0.45">
      <c r="B39" s="253" t="s">
        <v>280</v>
      </c>
      <c r="C39" s="254">
        <v>1.5</v>
      </c>
      <c r="D39" s="254">
        <v>-2.2999999999999998</v>
      </c>
      <c r="E39" s="254">
        <v>1.6</v>
      </c>
      <c r="F39" s="254">
        <v>6.4</v>
      </c>
      <c r="G39" s="254">
        <v>9</v>
      </c>
      <c r="H39" s="254">
        <v>11.1</v>
      </c>
      <c r="I39" s="254">
        <v>13.8</v>
      </c>
      <c r="J39" s="254">
        <v>13.9</v>
      </c>
      <c r="K39" s="254">
        <v>10.7</v>
      </c>
      <c r="L39" s="254">
        <v>8.5</v>
      </c>
      <c r="M39" s="254">
        <v>4.5</v>
      </c>
      <c r="N39" s="254">
        <v>0.4</v>
      </c>
    </row>
    <row r="40" spans="2:19" ht="14.25" x14ac:dyDescent="0.45">
      <c r="B40" s="253" t="s">
        <v>281</v>
      </c>
      <c r="C40" s="254">
        <v>5.4</v>
      </c>
      <c r="D40" s="254">
        <v>1.4</v>
      </c>
      <c r="E40" s="254">
        <v>5.3</v>
      </c>
      <c r="F40" s="254">
        <v>11.8</v>
      </c>
      <c r="G40" s="254">
        <v>13.7</v>
      </c>
      <c r="H40" s="254">
        <v>16.8</v>
      </c>
      <c r="I40" s="254">
        <v>20.3</v>
      </c>
      <c r="J40" s="254">
        <v>20.100000000000001</v>
      </c>
      <c r="K40" s="254">
        <v>16.899999999999999</v>
      </c>
      <c r="L40" s="254">
        <v>13.2</v>
      </c>
      <c r="M40" s="254">
        <v>8.1999999999999993</v>
      </c>
      <c r="N40" s="254">
        <v>4.7</v>
      </c>
    </row>
    <row r="41" spans="2:19" ht="14.25" x14ac:dyDescent="0.45">
      <c r="B41" s="253" t="s">
        <v>285</v>
      </c>
      <c r="C41" s="254">
        <v>31</v>
      </c>
      <c r="D41" s="254">
        <v>28</v>
      </c>
      <c r="E41" s="254">
        <v>31</v>
      </c>
      <c r="F41" s="254">
        <v>15</v>
      </c>
      <c r="G41" s="254"/>
      <c r="H41" s="254"/>
      <c r="I41" s="254"/>
      <c r="J41" s="254"/>
      <c r="K41" s="254"/>
      <c r="L41" s="254">
        <v>16</v>
      </c>
      <c r="M41" s="254">
        <v>30</v>
      </c>
      <c r="N41" s="254">
        <v>31</v>
      </c>
      <c r="P41" s="252" t="s">
        <v>287</v>
      </c>
      <c r="Q41" s="252" t="s">
        <v>288</v>
      </c>
      <c r="R41" s="252" t="s">
        <v>289</v>
      </c>
    </row>
    <row r="42" spans="2:19" ht="14.25" x14ac:dyDescent="0.45">
      <c r="B42" s="257" t="s">
        <v>286</v>
      </c>
      <c r="C42" s="258">
        <f t="shared" ref="C42:N42" si="4">+C41*(20-C40)</f>
        <v>452.59999999999997</v>
      </c>
      <c r="D42" s="258">
        <f t="shared" si="4"/>
        <v>520.80000000000007</v>
      </c>
      <c r="E42" s="258">
        <f t="shared" si="4"/>
        <v>455.7</v>
      </c>
      <c r="F42" s="258">
        <f t="shared" si="4"/>
        <v>122.99999999999999</v>
      </c>
      <c r="G42" s="258">
        <f t="shared" si="4"/>
        <v>0</v>
      </c>
      <c r="H42" s="258">
        <f t="shared" si="4"/>
        <v>0</v>
      </c>
      <c r="I42" s="258">
        <f t="shared" si="4"/>
        <v>0</v>
      </c>
      <c r="J42" s="258">
        <f t="shared" si="4"/>
        <v>0</v>
      </c>
      <c r="K42" s="258">
        <f t="shared" si="4"/>
        <v>0</v>
      </c>
      <c r="L42" s="258">
        <f t="shared" si="4"/>
        <v>108.80000000000001</v>
      </c>
      <c r="M42" s="258">
        <f t="shared" si="4"/>
        <v>354</v>
      </c>
      <c r="N42" s="258">
        <f t="shared" si="4"/>
        <v>474.3</v>
      </c>
      <c r="P42" s="259">
        <f>SUM(C42:N42)</f>
        <v>2489.2000000000003</v>
      </c>
      <c r="Q42" s="259">
        <f>SUM(C42:F42)</f>
        <v>1552.1000000000001</v>
      </c>
      <c r="R42" s="259">
        <f>SUM(L42:N42)</f>
        <v>937.1</v>
      </c>
    </row>
    <row r="44" spans="2:19" ht="13.9" x14ac:dyDescent="0.35">
      <c r="B44" s="252">
        <v>2019</v>
      </c>
      <c r="C44" s="252" t="s">
        <v>267</v>
      </c>
      <c r="D44" s="252" t="s">
        <v>268</v>
      </c>
      <c r="E44" s="252" t="s">
        <v>269</v>
      </c>
      <c r="F44" s="252" t="s">
        <v>270</v>
      </c>
      <c r="G44" s="252" t="s">
        <v>271</v>
      </c>
      <c r="H44" s="252" t="s">
        <v>272</v>
      </c>
      <c r="I44" s="252" t="s">
        <v>273</v>
      </c>
      <c r="J44" s="252" t="s">
        <v>274</v>
      </c>
      <c r="K44" s="252" t="s">
        <v>275</v>
      </c>
      <c r="L44" s="252" t="s">
        <v>276</v>
      </c>
      <c r="M44" s="252" t="s">
        <v>277</v>
      </c>
      <c r="N44" s="252" t="s">
        <v>278</v>
      </c>
      <c r="S44" s="252" t="s">
        <v>290</v>
      </c>
    </row>
    <row r="45" spans="2:19" ht="14.25" x14ac:dyDescent="0.45">
      <c r="B45" s="253" t="s">
        <v>282</v>
      </c>
      <c r="C45" s="254">
        <v>5</v>
      </c>
      <c r="D45" s="254">
        <v>10.199999999999999</v>
      </c>
      <c r="E45" s="254">
        <v>12.5</v>
      </c>
      <c r="F45" s="254">
        <v>13.5</v>
      </c>
      <c r="G45" s="254">
        <v>14.1</v>
      </c>
      <c r="H45" s="254">
        <v>26.2</v>
      </c>
      <c r="I45" s="254">
        <v>27.5</v>
      </c>
      <c r="J45" s="254">
        <v>27.3</v>
      </c>
      <c r="K45" s="254">
        <v>22.3</v>
      </c>
      <c r="L45" s="254">
        <v>18</v>
      </c>
      <c r="M45" s="254">
        <v>11.3</v>
      </c>
      <c r="N45" s="254">
        <v>9.6</v>
      </c>
      <c r="S45" s="259">
        <f>+R42+Q49</f>
        <v>2505</v>
      </c>
    </row>
    <row r="46" spans="2:19" ht="14.25" x14ac:dyDescent="0.45">
      <c r="B46" s="253" t="s">
        <v>280</v>
      </c>
      <c r="C46" s="254">
        <v>-2.4</v>
      </c>
      <c r="D46" s="254">
        <v>-0.1</v>
      </c>
      <c r="E46" s="254">
        <v>1.4</v>
      </c>
      <c r="F46" s="254">
        <v>4.0999999999999996</v>
      </c>
      <c r="G46" s="254">
        <v>5.6</v>
      </c>
      <c r="H46" s="254">
        <v>13.1</v>
      </c>
      <c r="I46" s="254">
        <v>13.4</v>
      </c>
      <c r="J46" s="254">
        <v>14.2</v>
      </c>
      <c r="K46" s="254">
        <v>10.199999999999999</v>
      </c>
      <c r="L46" s="254">
        <v>8.3000000000000007</v>
      </c>
      <c r="M46" s="254">
        <v>5.4</v>
      </c>
      <c r="N46" s="254">
        <v>2.2000000000000002</v>
      </c>
    </row>
    <row r="47" spans="2:19" ht="14.25" x14ac:dyDescent="0.45">
      <c r="B47" s="253" t="s">
        <v>281</v>
      </c>
      <c r="C47" s="254">
        <v>1.3</v>
      </c>
      <c r="D47" s="254">
        <v>5.0999999999999996</v>
      </c>
      <c r="E47" s="254">
        <v>7</v>
      </c>
      <c r="F47" s="254">
        <v>8.8000000000000007</v>
      </c>
      <c r="G47" s="254">
        <v>9.9</v>
      </c>
      <c r="H47" s="254">
        <v>19.7</v>
      </c>
      <c r="I47" s="254">
        <v>20.5</v>
      </c>
      <c r="J47" s="254">
        <v>20.8</v>
      </c>
      <c r="K47" s="254">
        <v>16.3</v>
      </c>
      <c r="L47" s="254">
        <v>13.2</v>
      </c>
      <c r="M47" s="254">
        <v>8.4</v>
      </c>
      <c r="N47" s="254">
        <v>5.9</v>
      </c>
    </row>
    <row r="48" spans="2:19" ht="14.25" x14ac:dyDescent="0.45">
      <c r="B48" s="253" t="s">
        <v>285</v>
      </c>
      <c r="C48" s="254">
        <v>31</v>
      </c>
      <c r="D48" s="254">
        <v>28</v>
      </c>
      <c r="E48" s="254">
        <v>31</v>
      </c>
      <c r="F48" s="254">
        <v>15</v>
      </c>
      <c r="G48" s="254"/>
      <c r="H48" s="254"/>
      <c r="I48" s="254"/>
      <c r="J48" s="254"/>
      <c r="K48" s="254"/>
      <c r="L48" s="254">
        <v>16</v>
      </c>
      <c r="M48" s="254">
        <v>30</v>
      </c>
      <c r="N48" s="254">
        <v>31</v>
      </c>
      <c r="P48" s="252" t="s">
        <v>287</v>
      </c>
      <c r="Q48" s="252" t="s">
        <v>288</v>
      </c>
      <c r="R48" s="252" t="s">
        <v>289</v>
      </c>
    </row>
    <row r="49" spans="2:19" ht="14.25" x14ac:dyDescent="0.45">
      <c r="B49" s="257" t="s">
        <v>286</v>
      </c>
      <c r="C49" s="258">
        <f t="shared" ref="C49:N49" si="5">+C48*(20-C47)</f>
        <v>579.69999999999993</v>
      </c>
      <c r="D49" s="258">
        <f t="shared" si="5"/>
        <v>417.2</v>
      </c>
      <c r="E49" s="258">
        <f t="shared" si="5"/>
        <v>403</v>
      </c>
      <c r="F49" s="258">
        <f t="shared" si="5"/>
        <v>168</v>
      </c>
      <c r="G49" s="258">
        <f t="shared" si="5"/>
        <v>0</v>
      </c>
      <c r="H49" s="258">
        <f t="shared" si="5"/>
        <v>0</v>
      </c>
      <c r="I49" s="258">
        <f t="shared" si="5"/>
        <v>0</v>
      </c>
      <c r="J49" s="258">
        <f t="shared" si="5"/>
        <v>0</v>
      </c>
      <c r="K49" s="258">
        <f t="shared" si="5"/>
        <v>0</v>
      </c>
      <c r="L49" s="258">
        <f t="shared" si="5"/>
        <v>108.80000000000001</v>
      </c>
      <c r="M49" s="258">
        <f t="shared" si="5"/>
        <v>348</v>
      </c>
      <c r="N49" s="258">
        <f t="shared" si="5"/>
        <v>437.09999999999997</v>
      </c>
      <c r="P49" s="259">
        <f>SUM(C49:N49)</f>
        <v>2461.7999999999997</v>
      </c>
      <c r="Q49" s="259">
        <f>SUM(C49:F49)</f>
        <v>1567.8999999999999</v>
      </c>
      <c r="R49" s="259">
        <f>SUM(L49:N49)</f>
        <v>893.9</v>
      </c>
    </row>
    <row r="51" spans="2:19" ht="13.9" x14ac:dyDescent="0.35">
      <c r="B51" s="252">
        <v>2020</v>
      </c>
      <c r="C51" s="252" t="s">
        <v>267</v>
      </c>
      <c r="D51" s="252" t="s">
        <v>268</v>
      </c>
      <c r="E51" s="252" t="s">
        <v>269</v>
      </c>
      <c r="F51" s="252" t="s">
        <v>270</v>
      </c>
      <c r="G51" s="252" t="s">
        <v>271</v>
      </c>
      <c r="H51" s="252" t="s">
        <v>272</v>
      </c>
      <c r="I51" s="252" t="s">
        <v>273</v>
      </c>
      <c r="J51" s="252" t="s">
        <v>274</v>
      </c>
      <c r="K51" s="252" t="s">
        <v>275</v>
      </c>
      <c r="L51" s="252" t="s">
        <v>276</v>
      </c>
      <c r="M51" s="252" t="s">
        <v>277</v>
      </c>
      <c r="N51" s="252" t="s">
        <v>278</v>
      </c>
      <c r="S51" s="252" t="s">
        <v>290</v>
      </c>
    </row>
    <row r="52" spans="2:19" ht="14.25" x14ac:dyDescent="0.45">
      <c r="B52" s="253" t="s">
        <v>282</v>
      </c>
      <c r="C52" s="254">
        <v>9.1</v>
      </c>
      <c r="D52" s="254">
        <v>11.1</v>
      </c>
      <c r="E52" s="254">
        <v>10.5</v>
      </c>
      <c r="F52" s="254">
        <v>15.4</v>
      </c>
      <c r="G52" s="254">
        <v>19.100000000000001</v>
      </c>
      <c r="H52" s="254">
        <v>21.8</v>
      </c>
      <c r="I52" s="254">
        <v>26.9</v>
      </c>
      <c r="J52" s="254"/>
      <c r="K52" s="254"/>
      <c r="L52" s="254"/>
      <c r="M52" s="254"/>
      <c r="N52" s="254"/>
      <c r="S52" s="259">
        <f>+R49+Q56</f>
        <v>893.9</v>
      </c>
    </row>
    <row r="53" spans="2:19" ht="14.25" x14ac:dyDescent="0.45">
      <c r="B53" s="253" t="s">
        <v>280</v>
      </c>
      <c r="C53" s="254">
        <v>0.4</v>
      </c>
      <c r="D53" s="254">
        <v>1.1000000000000001</v>
      </c>
      <c r="E53" s="254">
        <v>1</v>
      </c>
      <c r="F53" s="254">
        <v>3.7</v>
      </c>
      <c r="G53" s="254">
        <v>8.1999999999999993</v>
      </c>
      <c r="H53" s="254">
        <v>10</v>
      </c>
      <c r="I53" s="254">
        <v>12.7</v>
      </c>
      <c r="J53" s="254"/>
      <c r="K53" s="254"/>
      <c r="L53" s="254"/>
      <c r="M53" s="254"/>
      <c r="N53" s="254"/>
    </row>
    <row r="54" spans="2:19" ht="14.25" x14ac:dyDescent="0.45">
      <c r="B54" s="253" t="s">
        <v>281</v>
      </c>
      <c r="C54" s="254">
        <v>4.8</v>
      </c>
      <c r="D54" s="254">
        <v>6.1</v>
      </c>
      <c r="E54" s="254">
        <v>5.8</v>
      </c>
      <c r="F54" s="254">
        <v>9.6</v>
      </c>
      <c r="G54" s="254">
        <v>13.7</v>
      </c>
      <c r="H54" s="254">
        <v>15.9</v>
      </c>
      <c r="I54" s="254">
        <v>19.8</v>
      </c>
      <c r="J54" s="254"/>
      <c r="K54" s="254"/>
      <c r="L54" s="254"/>
      <c r="M54" s="254"/>
      <c r="N54" s="254"/>
      <c r="P54" s="252" t="s">
        <v>287</v>
      </c>
      <c r="Q54" s="252" t="s">
        <v>288</v>
      </c>
      <c r="R54" s="252" t="s">
        <v>289</v>
      </c>
    </row>
    <row r="55" spans="2:19" ht="14.25" x14ac:dyDescent="0.45">
      <c r="B55" s="253" t="s">
        <v>285</v>
      </c>
      <c r="C55" s="254">
        <v>31</v>
      </c>
      <c r="D55" s="254">
        <v>29</v>
      </c>
      <c r="E55" s="254">
        <v>31</v>
      </c>
      <c r="F55" s="254">
        <v>15</v>
      </c>
      <c r="G55" s="254"/>
      <c r="H55" s="254"/>
      <c r="I55" s="254"/>
      <c r="J55" s="254"/>
      <c r="K55" s="254"/>
      <c r="L55" s="254">
        <v>16</v>
      </c>
      <c r="M55" s="254">
        <v>30</v>
      </c>
      <c r="N55" s="254">
        <v>31</v>
      </c>
      <c r="P55" s="259">
        <f>SUM(C56:N56)</f>
        <v>3010.5</v>
      </c>
      <c r="Q55" s="259">
        <f>SUM(C55:F55)</f>
        <v>106</v>
      </c>
      <c r="R55" s="259">
        <f>SUM(L55:N55)</f>
        <v>77</v>
      </c>
    </row>
    <row r="56" spans="2:19" ht="14.25" x14ac:dyDescent="0.45">
      <c r="B56" s="257" t="s">
        <v>286</v>
      </c>
      <c r="C56" s="258">
        <f>+C55*(20-C54)</f>
        <v>471.2</v>
      </c>
      <c r="D56" s="258">
        <f t="shared" ref="D56:N56" si="6">+D55*(20-D54)</f>
        <v>403.1</v>
      </c>
      <c r="E56" s="258">
        <f t="shared" si="6"/>
        <v>440.2</v>
      </c>
      <c r="F56" s="258">
        <f t="shared" si="6"/>
        <v>156</v>
      </c>
      <c r="G56" s="258">
        <f t="shared" si="6"/>
        <v>0</v>
      </c>
      <c r="H56" s="258">
        <f t="shared" si="6"/>
        <v>0</v>
      </c>
      <c r="I56" s="258">
        <f t="shared" si="6"/>
        <v>0</v>
      </c>
      <c r="J56" s="258">
        <f t="shared" si="6"/>
        <v>0</v>
      </c>
      <c r="K56" s="258">
        <f t="shared" si="6"/>
        <v>0</v>
      </c>
      <c r="L56" s="258">
        <f t="shared" si="6"/>
        <v>320</v>
      </c>
      <c r="M56" s="258">
        <f t="shared" si="6"/>
        <v>600</v>
      </c>
      <c r="N56" s="258">
        <f t="shared" si="6"/>
        <v>620</v>
      </c>
    </row>
    <row r="57" spans="2:19" ht="13.9" x14ac:dyDescent="0.35">
      <c r="S57" s="252" t="s">
        <v>290</v>
      </c>
    </row>
    <row r="58" spans="2:19" x14ac:dyDescent="0.35">
      <c r="S58" s="259">
        <f>+R55+Q62</f>
        <v>77</v>
      </c>
    </row>
  </sheetData>
  <hyperlinks>
    <hyperlink ref="D7" r:id="rId1" xr:uid="{00000000-0004-0000-07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2</vt:i4>
      </vt:variant>
    </vt:vector>
  </HeadingPairs>
  <TitlesOfParts>
    <vt:vector size="10" baseType="lpstr">
      <vt:lpstr>revisione prezzi V.R. </vt:lpstr>
      <vt:lpstr>revisione prezzi N.R.</vt:lpstr>
      <vt:lpstr>ISTAT</vt:lpstr>
      <vt:lpstr>CEC</vt:lpstr>
      <vt:lpstr>Assistal</vt:lpstr>
      <vt:lpstr>match NR-VR</vt:lpstr>
      <vt:lpstr>match NR - gasolio</vt:lpstr>
      <vt:lpstr>gradi giorno Santa Fiora</vt:lpstr>
      <vt:lpstr>ISTAT!Area_stampa</vt:lpstr>
      <vt:lpstr>'revisione prezzi N.R.'!Area_stampa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vincenzoattisano</cp:lastModifiedBy>
  <cp:lastPrinted>2021-05-07T16:30:06Z</cp:lastPrinted>
  <dcterms:created xsi:type="dcterms:W3CDTF">2007-10-24T09:59:58Z</dcterms:created>
  <dcterms:modified xsi:type="dcterms:W3CDTF">2022-09-02T10:30:38Z</dcterms:modified>
</cp:coreProperties>
</file>